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DieseArbeitsmappe"/>
  <mc:AlternateContent xmlns:mc="http://schemas.openxmlformats.org/markup-compatibility/2006">
    <mc:Choice Requires="x15">
      <x15ac:absPath xmlns:x15ac="http://schemas.microsoft.com/office/spreadsheetml/2010/11/ac" url="C:\Users\reneb\Documents\Vereine neu\SIS\"/>
    </mc:Choice>
  </mc:AlternateContent>
  <xr:revisionPtr revIDLastSave="0" documentId="13_ncr:1_{3FD08173-D054-4653-A5F0-68C6EC297AD8}" xr6:coauthVersionLast="47" xr6:coauthVersionMax="47" xr10:uidLastSave="{00000000-0000-0000-0000-000000000000}"/>
  <workbookProtection workbookAlgorithmName="SHA-512" workbookHashValue="XggtTq0Lc1kRbAWzmvpKKhhOxIUyNCzlItq3xHRj8JyKvbT/aMJlcwuGu/QloTcaEQ6zWSym83VQpjsri+MlGw==" workbookSaltValue="cv7fnHjnyMk2OxSkebsc/Q==" workbookSpinCount="100000" lockStructure="1"/>
  <bookViews>
    <workbookView xWindow="-108" yWindow="-108" windowWidth="23256" windowHeight="12456" tabRatio="866" xr2:uid="{00000000-000D-0000-FFFF-FFFF00000000}"/>
  </bookViews>
  <sheets>
    <sheet name="Konfiguration_Configuration" sheetId="38" r:id="rId1"/>
    <sheet name="Testbericht_Rapport de test" sheetId="39" r:id="rId2"/>
    <sheet name="DIPLOM_Diplome" sheetId="89" r:id="rId3"/>
    <sheet name="Bestätigung_Confirmation" sheetId="94" r:id="rId4"/>
    <sheet name="Notizenblatt_Feuille de juge" sheetId="86" r:id="rId5"/>
    <sheet name="Daten" sheetId="91" state="hidden" r:id="rId6"/>
    <sheet name="GEO" sheetId="93" r:id="rId7"/>
    <sheet name="Versionenkontrolle" sheetId="90" r:id="rId8"/>
  </sheets>
  <definedNames>
    <definedName name="_xlnm._FilterDatabase" localSheetId="2" hidden="1">DIPLOM_Diplome!$Q$5:$Q$49</definedName>
    <definedName name="_xlnm._FilterDatabase" localSheetId="0" hidden="1">Konfiguration_Configuration!#REF!</definedName>
    <definedName name="_xlnm._FilterDatabase" localSheetId="4" hidden="1">'Notizenblatt_Feuille de juge'!$A$1:$IR$1</definedName>
    <definedName name="Austragungsort">Konfiguration_Configuration!$B$4</definedName>
    <definedName name="Berater">Konfiguration_Configuration!$E$2</definedName>
    <definedName name="Copyright">Konfiguration_Configuration!$E$44</definedName>
    <definedName name="Copyright_B">'Testbericht_Rapport de test'!#REF!</definedName>
    <definedName name="Datum">Konfiguration_Configuration!$B$5</definedName>
    <definedName name="_xlnm.Print_Area" localSheetId="3">Bestätigung_Confirmation!$B$2:$O$48</definedName>
    <definedName name="_xlnm.Print_Area" localSheetId="2">DIPLOM_Diplome!$B$2:$O$49</definedName>
    <definedName name="_xlnm.Print_Area" localSheetId="0">Konfiguration_Configuration!$A$1:$J$44</definedName>
    <definedName name="_xlnm.Print_Area" localSheetId="1">'Testbericht_Rapport de test'!$B$1:$R$75</definedName>
    <definedName name="_xlnm.Print_Area">INDIRECT('Notizenblatt_Feuille de juge'!$A$1)</definedName>
    <definedName name="_xlnm.Print_Titles" localSheetId="2">DIPLOM_Diplome!$2:$3</definedName>
    <definedName name="_xlnm.Print_Titles" localSheetId="0">Konfiguration_Configuration!#REF!</definedName>
    <definedName name="_xlnm.Print_Titles" localSheetId="4">'Notizenblatt_Feuille de juge'!$A:$A</definedName>
    <definedName name="_xlnm.Print_Titles" localSheetId="1">'Testbericht_Rapport de test'!$3:$4</definedName>
    <definedName name="Einsatz1">Konfiguration_Configuration!#REF!</definedName>
    <definedName name="Einsatz2">Konfiguration_Configuration!#REF!</definedName>
    <definedName name="Elemente">Konfiguration_Configuration!#REF!</definedName>
    <definedName name="Erlaubt">Konfiguration_Configuration!#REF!</definedName>
    <definedName name="firstjump">Konfiguration_Configuration!#REF!</definedName>
    <definedName name="Hauptkriterien">Konfiguration_Configuration!#REF!</definedName>
    <definedName name="Header">Konfiguration_Configuration!#REF!</definedName>
    <definedName name="Höhe_TF3">'Testbericht_Rapport de test'!#REF!</definedName>
    <definedName name="ImportExportAktiv">Konfiguration_Configuration!#REF!</definedName>
    <definedName name="Killer">Konfiguration_Configuration!#REF!</definedName>
    <definedName name="Killer2">Konfiguration_Configuration!#REF!</definedName>
    <definedName name="Killer3">Konfiguration_Configuration!#REF!</definedName>
    <definedName name="KonfigStatus">Konfiguration_Configuration!#REF!</definedName>
    <definedName name="L_check">Konfiguration_Configuration!#REF!</definedName>
    <definedName name="L_CoSpin">Konfiguration_Configuration!#REF!</definedName>
    <definedName name="L_CoSpinWerte">Konfiguration_Configuration!#REF!</definedName>
    <definedName name="L_Firstjump">Konfiguration_Configuration!#REF!</definedName>
    <definedName name="L_Firstjump_Werte">Konfiguration_Configuration!#REF!</definedName>
    <definedName name="L_Klub">Konfiguration_Configuration!$E$20:$E$41</definedName>
    <definedName name="L_Reasons">Konfiguration_Configuration!#REF!</definedName>
    <definedName name="L_Spin">Konfiguration_Configuration!#REF!</definedName>
    <definedName name="L_SpinWerte">Konfiguration_Configuration!#REF!</definedName>
    <definedName name="L_Sprünge">Konfiguration_Configuration!#REF!</definedName>
    <definedName name="L_SprüngeWerte">Konfiguration_Configuration!#REF!</definedName>
    <definedName name="L_Teilnehmer">Konfiguration_Configuration!$B$20:$B$41</definedName>
    <definedName name="limite">Konfiguration_Configuration!#REF!</definedName>
    <definedName name="Lizenzvermerk">Konfiguration_Configuration!$A$44</definedName>
    <definedName name="Lizenzvermerk_B">'Testbericht_Rapport de test'!#REF!</definedName>
    <definedName name="Modus">Konfiguration_Configuration!#REF!</definedName>
    <definedName name="Navigator">Konfiguration_Configuration!#REF!</definedName>
    <definedName name="NichtErlaubt">Konfiguration_Configuration!#REF!</definedName>
    <definedName name="pAnzahlAnbieter">Konfiguration_Configuration!#REF!</definedName>
    <definedName name="Punktelimite">Konfiguration_Configuration!#REF!</definedName>
    <definedName name="Richter1">Konfiguration_Configuration!#REF!</definedName>
    <definedName name="Richter2">Konfiguration_Configuration!#REF!</definedName>
    <definedName name="Richter3">Konfiguration_Configuration!#REF!</definedName>
    <definedName name="Schiedsrichter">Konfiguration_Configuration!$B$12:$B$14</definedName>
    <definedName name="Spin">Konfiguration_Configuration!#REF!</definedName>
    <definedName name="Sprache" localSheetId="2">DIPLOM_Diplome!$U$2</definedName>
    <definedName name="Sprache">#REF!</definedName>
    <definedName name="SpracheB">Bestätigung_Confirmation!$U$2</definedName>
    <definedName name="SprungKomb">Konfiguration_Configuration!#REF!</definedName>
    <definedName name="SprungZiel">Konfiguration_Configuration!#REF!</definedName>
    <definedName name="SWname">Konfiguration_Configuration!$H$1</definedName>
    <definedName name="Tabelle">#REF!</definedName>
    <definedName name="Teilkriterien">Konfiguration_Configuration!#REF!</definedName>
    <definedName name="Teilnehmer">Konfiguration_Configuration!$B$21:$D$41</definedName>
    <definedName name="Testklasse">Konfiguration_Configuration!$B$6</definedName>
    <definedName name="testkonfig">Konfiguration_Configuration!#REF!</definedName>
    <definedName name="Testliste">Konfiguration_Configuration!#REF!</definedName>
    <definedName name="Testname">Konfiguration_Configuration!$B$3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91" l="1"/>
  <c r="C19" i="91"/>
  <c r="C20" i="91"/>
  <c r="C21" i="91"/>
  <c r="C84" i="91"/>
  <c r="C24" i="91"/>
  <c r="D3" i="91"/>
  <c r="N2" i="38"/>
  <c r="B89" i="91"/>
  <c r="BO192" i="86"/>
  <c r="BL192" i="86"/>
  <c r="BI192" i="86"/>
  <c r="BF192" i="86"/>
  <c r="BC192" i="86"/>
  <c r="AX192" i="86"/>
  <c r="AU192" i="86"/>
  <c r="AR192" i="86"/>
  <c r="AO192" i="86"/>
  <c r="AL192" i="86"/>
  <c r="BQ188" i="86"/>
  <c r="BN188" i="86"/>
  <c r="BK188" i="86"/>
  <c r="BH188" i="86"/>
  <c r="BE188" i="86"/>
  <c r="AZ188" i="86"/>
  <c r="AW188" i="86"/>
  <c r="AT188" i="86"/>
  <c r="AQ188" i="86"/>
  <c r="AN188" i="86"/>
  <c r="AI188" i="86"/>
  <c r="AF188" i="86"/>
  <c r="AC188" i="86"/>
  <c r="Z188" i="86"/>
  <c r="W188" i="86"/>
  <c r="R188" i="86"/>
  <c r="O188" i="86"/>
  <c r="L188" i="86"/>
  <c r="I188" i="86"/>
  <c r="F188" i="86"/>
  <c r="BQ186" i="86"/>
  <c r="BN186" i="86"/>
  <c r="BK186" i="86"/>
  <c r="BH186" i="86"/>
  <c r="BE186" i="86"/>
  <c r="AZ186" i="86"/>
  <c r="AW186" i="86"/>
  <c r="AT186" i="86"/>
  <c r="AQ186" i="86"/>
  <c r="AN186" i="86"/>
  <c r="AI186" i="86"/>
  <c r="AF186" i="86"/>
  <c r="AC186" i="86"/>
  <c r="Z186" i="86"/>
  <c r="W186" i="86"/>
  <c r="R186" i="86"/>
  <c r="O186" i="86"/>
  <c r="L186" i="86"/>
  <c r="I186" i="86"/>
  <c r="F186" i="86"/>
  <c r="BQ184" i="86"/>
  <c r="BN184" i="86"/>
  <c r="BK184" i="86"/>
  <c r="BH184" i="86"/>
  <c r="BE184" i="86"/>
  <c r="AZ184" i="86"/>
  <c r="AW184" i="86"/>
  <c r="AT184" i="86"/>
  <c r="AQ184" i="86"/>
  <c r="AN184" i="86"/>
  <c r="AI184" i="86"/>
  <c r="AF184" i="86"/>
  <c r="AC184" i="86"/>
  <c r="Z184" i="86"/>
  <c r="W184" i="86"/>
  <c r="R184" i="86"/>
  <c r="O184" i="86"/>
  <c r="L184" i="86"/>
  <c r="I184" i="86"/>
  <c r="F184" i="86"/>
  <c r="BO181" i="86"/>
  <c r="BL181" i="86"/>
  <c r="BI181" i="86"/>
  <c r="BF181" i="86"/>
  <c r="BC181" i="86"/>
  <c r="AX181" i="86"/>
  <c r="AU181" i="86"/>
  <c r="AR181" i="86"/>
  <c r="AO181" i="86"/>
  <c r="AL181" i="86"/>
  <c r="AG181" i="86"/>
  <c r="AD181" i="86"/>
  <c r="AA181" i="86"/>
  <c r="X181" i="86"/>
  <c r="U181" i="86"/>
  <c r="P181" i="86"/>
  <c r="M181" i="86"/>
  <c r="J181" i="86"/>
  <c r="G181" i="86"/>
  <c r="D181" i="86"/>
  <c r="BO180" i="86"/>
  <c r="BL180" i="86"/>
  <c r="BI180" i="86"/>
  <c r="BF180" i="86"/>
  <c r="BC180" i="86"/>
  <c r="AX180" i="86"/>
  <c r="AU180" i="86"/>
  <c r="AR180" i="86"/>
  <c r="AO180" i="86"/>
  <c r="AL180" i="86"/>
  <c r="AG180" i="86"/>
  <c r="AD180" i="86"/>
  <c r="AA180" i="86"/>
  <c r="X180" i="86"/>
  <c r="U180" i="86"/>
  <c r="P180" i="86"/>
  <c r="M180" i="86"/>
  <c r="J180" i="86"/>
  <c r="G180" i="86"/>
  <c r="D180" i="86"/>
  <c r="BO179" i="86"/>
  <c r="BL179" i="86"/>
  <c r="BI179" i="86"/>
  <c r="BF179" i="86"/>
  <c r="BC179" i="86"/>
  <c r="AX179" i="86"/>
  <c r="AU179" i="86"/>
  <c r="AR179" i="86"/>
  <c r="AO179" i="86"/>
  <c r="AL179" i="86"/>
  <c r="AG179" i="86"/>
  <c r="AD179" i="86"/>
  <c r="AA179" i="86"/>
  <c r="X179" i="86"/>
  <c r="U179" i="86"/>
  <c r="P179" i="86"/>
  <c r="M179" i="86"/>
  <c r="J179" i="86"/>
  <c r="G179" i="86"/>
  <c r="D179" i="86"/>
  <c r="H175" i="86"/>
  <c r="BG175" i="86" s="1"/>
  <c r="BA174" i="86"/>
  <c r="AJ174" i="86"/>
  <c r="S174" i="86"/>
  <c r="H174" i="86"/>
  <c r="AP174" i="86" s="1"/>
  <c r="B174" i="86"/>
  <c r="BA173" i="86"/>
  <c r="AJ173" i="86"/>
  <c r="S173" i="86"/>
  <c r="H173" i="86"/>
  <c r="Y173" i="86" s="1"/>
  <c r="B173" i="86"/>
  <c r="BA172" i="86"/>
  <c r="AJ172" i="86"/>
  <c r="S172" i="86"/>
  <c r="H172" i="86"/>
  <c r="BG172" i="86" s="1"/>
  <c r="B172" i="86"/>
  <c r="BQ165" i="86"/>
  <c r="BN165" i="86"/>
  <c r="BK165" i="86"/>
  <c r="BH165" i="86"/>
  <c r="BE165" i="86"/>
  <c r="AZ165" i="86"/>
  <c r="AW165" i="86"/>
  <c r="AT165" i="86"/>
  <c r="AQ165" i="86"/>
  <c r="AN165" i="86"/>
  <c r="AI165" i="86"/>
  <c r="AF165" i="86"/>
  <c r="AC165" i="86"/>
  <c r="Z165" i="86"/>
  <c r="W165" i="86"/>
  <c r="R165" i="86"/>
  <c r="O165" i="86"/>
  <c r="L165" i="86"/>
  <c r="I165" i="86"/>
  <c r="F165" i="86"/>
  <c r="BQ162" i="86"/>
  <c r="BN162" i="86"/>
  <c r="BK162" i="86"/>
  <c r="BH162" i="86"/>
  <c r="BE162" i="86"/>
  <c r="AZ162" i="86"/>
  <c r="AW162" i="86"/>
  <c r="AT162" i="86"/>
  <c r="AQ162" i="86"/>
  <c r="AN162" i="86"/>
  <c r="AI162" i="86"/>
  <c r="AF162" i="86"/>
  <c r="AC162" i="86"/>
  <c r="Z162" i="86"/>
  <c r="W162" i="86"/>
  <c r="R162" i="86"/>
  <c r="O162" i="86"/>
  <c r="L162" i="86"/>
  <c r="I162" i="86"/>
  <c r="F162" i="86"/>
  <c r="BQ159" i="86"/>
  <c r="BN159" i="86"/>
  <c r="BK159" i="86"/>
  <c r="BH159" i="86"/>
  <c r="BE159" i="86"/>
  <c r="AZ159" i="86"/>
  <c r="AW159" i="86"/>
  <c r="AT159" i="86"/>
  <c r="AQ159" i="86"/>
  <c r="AN159" i="86"/>
  <c r="AI159" i="86"/>
  <c r="AF159" i="86"/>
  <c r="AC159" i="86"/>
  <c r="Z159" i="86"/>
  <c r="W159" i="86"/>
  <c r="R159" i="86"/>
  <c r="O159" i="86"/>
  <c r="L159" i="86"/>
  <c r="I159" i="86"/>
  <c r="F159" i="86"/>
  <c r="BQ156" i="86"/>
  <c r="BN156" i="86"/>
  <c r="BK156" i="86"/>
  <c r="BH156" i="86"/>
  <c r="BE156" i="86"/>
  <c r="AZ156" i="86"/>
  <c r="AW156" i="86"/>
  <c r="AT156" i="86"/>
  <c r="AQ156" i="86"/>
  <c r="AN156" i="86"/>
  <c r="AI156" i="86"/>
  <c r="AF156" i="86"/>
  <c r="AC156" i="86"/>
  <c r="Z156" i="86"/>
  <c r="W156" i="86"/>
  <c r="R156" i="86"/>
  <c r="O156" i="86"/>
  <c r="L156" i="86"/>
  <c r="I156" i="86"/>
  <c r="F156" i="86"/>
  <c r="BQ153" i="86"/>
  <c r="BN153" i="86"/>
  <c r="BK153" i="86"/>
  <c r="BH153" i="86"/>
  <c r="BE153" i="86"/>
  <c r="AZ153" i="86"/>
  <c r="AW153" i="86"/>
  <c r="AT153" i="86"/>
  <c r="AQ153" i="86"/>
  <c r="AN153" i="86"/>
  <c r="AI153" i="86"/>
  <c r="AF153" i="86"/>
  <c r="AC153" i="86"/>
  <c r="Z153" i="86"/>
  <c r="W153" i="86"/>
  <c r="R153" i="86"/>
  <c r="O153" i="86"/>
  <c r="L153" i="86"/>
  <c r="I153" i="86"/>
  <c r="F153" i="86"/>
  <c r="BQ151" i="86"/>
  <c r="BO151" i="86"/>
  <c r="BN151" i="86"/>
  <c r="BL151" i="86"/>
  <c r="BK151" i="86"/>
  <c r="BI151" i="86"/>
  <c r="BH151" i="86"/>
  <c r="BF151" i="86"/>
  <c r="BE151" i="86"/>
  <c r="BC151" i="86"/>
  <c r="AZ151" i="86"/>
  <c r="AX151" i="86"/>
  <c r="AW151" i="86"/>
  <c r="AU151" i="86"/>
  <c r="AT151" i="86"/>
  <c r="AR151" i="86"/>
  <c r="AQ151" i="86"/>
  <c r="AO151" i="86"/>
  <c r="AN151" i="86"/>
  <c r="AL151" i="86"/>
  <c r="AI151" i="86"/>
  <c r="AG151" i="86"/>
  <c r="AF151" i="86"/>
  <c r="AD151" i="86"/>
  <c r="AC151" i="86"/>
  <c r="AA151" i="86"/>
  <c r="Z151" i="86"/>
  <c r="X151" i="86"/>
  <c r="W151" i="86"/>
  <c r="U151" i="86"/>
  <c r="R151" i="86"/>
  <c r="P151" i="86"/>
  <c r="O151" i="86"/>
  <c r="M151" i="86"/>
  <c r="L151" i="86"/>
  <c r="J151" i="86"/>
  <c r="I151" i="86"/>
  <c r="G151" i="86"/>
  <c r="F151" i="86"/>
  <c r="D151" i="86"/>
  <c r="A151" i="86"/>
  <c r="BO150" i="86"/>
  <c r="BL150" i="86"/>
  <c r="BI150" i="86"/>
  <c r="BF150" i="86"/>
  <c r="BC150" i="86"/>
  <c r="AX150" i="86"/>
  <c r="AU150" i="86"/>
  <c r="AR150" i="86"/>
  <c r="AO150" i="86"/>
  <c r="AL150" i="86"/>
  <c r="AG150" i="86"/>
  <c r="AD150" i="86"/>
  <c r="AA150" i="86"/>
  <c r="X150" i="86"/>
  <c r="U150" i="86"/>
  <c r="P150" i="86"/>
  <c r="M150" i="86"/>
  <c r="J150" i="86"/>
  <c r="G150" i="86"/>
  <c r="D150" i="86"/>
  <c r="BO149" i="86"/>
  <c r="BL149" i="86"/>
  <c r="BI149" i="86"/>
  <c r="BF149" i="86"/>
  <c r="BC149" i="86"/>
  <c r="AX149" i="86"/>
  <c r="AU149" i="86"/>
  <c r="AR149" i="86"/>
  <c r="AO149" i="86"/>
  <c r="AL149" i="86"/>
  <c r="AG149" i="86"/>
  <c r="AD149" i="86"/>
  <c r="AA149" i="86"/>
  <c r="X149" i="86"/>
  <c r="U149" i="86"/>
  <c r="P149" i="86"/>
  <c r="M149" i="86"/>
  <c r="J149" i="86"/>
  <c r="G149" i="86"/>
  <c r="D149" i="86"/>
  <c r="BO148" i="86"/>
  <c r="BL148" i="86"/>
  <c r="BI148" i="86"/>
  <c r="BF148" i="86"/>
  <c r="BC148" i="86"/>
  <c r="AX148" i="86"/>
  <c r="AU148" i="86"/>
  <c r="AR148" i="86"/>
  <c r="AO148" i="86"/>
  <c r="AL148" i="86"/>
  <c r="AG148" i="86"/>
  <c r="AD148" i="86"/>
  <c r="AA148" i="86"/>
  <c r="X148" i="86"/>
  <c r="U148" i="86"/>
  <c r="P148" i="86"/>
  <c r="M148" i="86"/>
  <c r="J148" i="86"/>
  <c r="G148" i="86"/>
  <c r="D148" i="86"/>
  <c r="H144" i="86"/>
  <c r="AP144" i="86" s="1"/>
  <c r="BA143" i="86"/>
  <c r="AJ143" i="86"/>
  <c r="S143" i="86"/>
  <c r="H143" i="86"/>
  <c r="AP143" i="86" s="1"/>
  <c r="B143" i="86"/>
  <c r="BA142" i="86"/>
  <c r="AJ142" i="86"/>
  <c r="S142" i="86"/>
  <c r="H142" i="86"/>
  <c r="Y142" i="86" s="1"/>
  <c r="B142" i="86"/>
  <c r="BA141" i="86"/>
  <c r="AJ141" i="86"/>
  <c r="S141" i="86"/>
  <c r="H141" i="86"/>
  <c r="AP141" i="86" s="1"/>
  <c r="B141" i="86"/>
  <c r="A139" i="86"/>
  <c r="BO123" i="86"/>
  <c r="BL123" i="86"/>
  <c r="BI123" i="86"/>
  <c r="BF123" i="86"/>
  <c r="BC123" i="86"/>
  <c r="AX123" i="86"/>
  <c r="AU123" i="86"/>
  <c r="AR123" i="86"/>
  <c r="AO123" i="86"/>
  <c r="AL123" i="86"/>
  <c r="BQ119" i="86"/>
  <c r="BN119" i="86"/>
  <c r="BK119" i="86"/>
  <c r="BH119" i="86"/>
  <c r="BE119" i="86"/>
  <c r="AZ119" i="86"/>
  <c r="AW119" i="86"/>
  <c r="AT119" i="86"/>
  <c r="AQ119" i="86"/>
  <c r="AN119" i="86"/>
  <c r="AI119" i="86"/>
  <c r="AF119" i="86"/>
  <c r="AC119" i="86"/>
  <c r="Z119" i="86"/>
  <c r="W119" i="86"/>
  <c r="R119" i="86"/>
  <c r="O119" i="86"/>
  <c r="L119" i="86"/>
  <c r="I119" i="86"/>
  <c r="F119" i="86"/>
  <c r="BQ117" i="86"/>
  <c r="BN117" i="86"/>
  <c r="BK117" i="86"/>
  <c r="BH117" i="86"/>
  <c r="BE117" i="86"/>
  <c r="AZ117" i="86"/>
  <c r="AW117" i="86"/>
  <c r="AT117" i="86"/>
  <c r="AQ117" i="86"/>
  <c r="AN117" i="86"/>
  <c r="AI117" i="86"/>
  <c r="AF117" i="86"/>
  <c r="AC117" i="86"/>
  <c r="Z117" i="86"/>
  <c r="W117" i="86"/>
  <c r="R117" i="86"/>
  <c r="O117" i="86"/>
  <c r="L117" i="86"/>
  <c r="I117" i="86"/>
  <c r="F117" i="86"/>
  <c r="BQ115" i="86"/>
  <c r="BN115" i="86"/>
  <c r="BK115" i="86"/>
  <c r="BH115" i="86"/>
  <c r="BE115" i="86"/>
  <c r="AZ115" i="86"/>
  <c r="AW115" i="86"/>
  <c r="AT115" i="86"/>
  <c r="AQ115" i="86"/>
  <c r="AN115" i="86"/>
  <c r="AI115" i="86"/>
  <c r="AF115" i="86"/>
  <c r="AC115" i="86"/>
  <c r="Z115" i="86"/>
  <c r="W115" i="86"/>
  <c r="R115" i="86"/>
  <c r="O115" i="86"/>
  <c r="L115" i="86"/>
  <c r="I115" i="86"/>
  <c r="F115" i="86"/>
  <c r="BO112" i="86"/>
  <c r="BL112" i="86"/>
  <c r="BI112" i="86"/>
  <c r="BF112" i="86"/>
  <c r="BC112" i="86"/>
  <c r="AX112" i="86"/>
  <c r="AU112" i="86"/>
  <c r="AR112" i="86"/>
  <c r="AO112" i="86"/>
  <c r="AL112" i="86"/>
  <c r="AG112" i="86"/>
  <c r="AD112" i="86"/>
  <c r="AA112" i="86"/>
  <c r="X112" i="86"/>
  <c r="U112" i="86"/>
  <c r="P112" i="86"/>
  <c r="M112" i="86"/>
  <c r="J112" i="86"/>
  <c r="G112" i="86"/>
  <c r="D112" i="86"/>
  <c r="BO111" i="86"/>
  <c r="BL111" i="86"/>
  <c r="BI111" i="86"/>
  <c r="BF111" i="86"/>
  <c r="BC111" i="86"/>
  <c r="AX111" i="86"/>
  <c r="AU111" i="86"/>
  <c r="AR111" i="86"/>
  <c r="AO111" i="86"/>
  <c r="AL111" i="86"/>
  <c r="AG111" i="86"/>
  <c r="AD111" i="86"/>
  <c r="AA111" i="86"/>
  <c r="X111" i="86"/>
  <c r="U111" i="86"/>
  <c r="P111" i="86"/>
  <c r="M111" i="86"/>
  <c r="J111" i="86"/>
  <c r="G111" i="86"/>
  <c r="D111" i="86"/>
  <c r="BO110" i="86"/>
  <c r="BL110" i="86"/>
  <c r="BI110" i="86"/>
  <c r="BF110" i="86"/>
  <c r="BC110" i="86"/>
  <c r="AX110" i="86"/>
  <c r="AU110" i="86"/>
  <c r="AR110" i="86"/>
  <c r="AO110" i="86"/>
  <c r="AL110" i="86"/>
  <c r="AG110" i="86"/>
  <c r="AD110" i="86"/>
  <c r="AA110" i="86"/>
  <c r="X110" i="86"/>
  <c r="U110" i="86"/>
  <c r="P110" i="86"/>
  <c r="M110" i="86"/>
  <c r="J110" i="86"/>
  <c r="G110" i="86"/>
  <c r="D110" i="86"/>
  <c r="H106" i="86"/>
  <c r="Y106" i="86" s="1"/>
  <c r="BA105" i="86"/>
  <c r="AJ105" i="86"/>
  <c r="S105" i="86"/>
  <c r="H105" i="86"/>
  <c r="AP105" i="86" s="1"/>
  <c r="B105" i="86"/>
  <c r="BA104" i="86"/>
  <c r="AJ104" i="86"/>
  <c r="S104" i="86"/>
  <c r="H104" i="86"/>
  <c r="Y104" i="86" s="1"/>
  <c r="B104" i="86"/>
  <c r="BA103" i="86"/>
  <c r="AJ103" i="86"/>
  <c r="S103" i="86"/>
  <c r="H103" i="86"/>
  <c r="BG103" i="86" s="1"/>
  <c r="B103" i="86"/>
  <c r="BQ96" i="86"/>
  <c r="BN96" i="86"/>
  <c r="BK96" i="86"/>
  <c r="BH96" i="86"/>
  <c r="BE96" i="86"/>
  <c r="AZ96" i="86"/>
  <c r="AW96" i="86"/>
  <c r="AT96" i="86"/>
  <c r="AQ96" i="86"/>
  <c r="AN96" i="86"/>
  <c r="AI96" i="86"/>
  <c r="AF96" i="86"/>
  <c r="AC96" i="86"/>
  <c r="Z96" i="86"/>
  <c r="W96" i="86"/>
  <c r="R96" i="86"/>
  <c r="O96" i="86"/>
  <c r="L96" i="86"/>
  <c r="I96" i="86"/>
  <c r="F96" i="86"/>
  <c r="BQ93" i="86"/>
  <c r="BN93" i="86"/>
  <c r="BK93" i="86"/>
  <c r="BH93" i="86"/>
  <c r="BE93" i="86"/>
  <c r="AZ93" i="86"/>
  <c r="AW93" i="86"/>
  <c r="AT93" i="86"/>
  <c r="AQ93" i="86"/>
  <c r="AN93" i="86"/>
  <c r="AI93" i="86"/>
  <c r="AF93" i="86"/>
  <c r="AC93" i="86"/>
  <c r="Z93" i="86"/>
  <c r="W93" i="86"/>
  <c r="R93" i="86"/>
  <c r="O93" i="86"/>
  <c r="L93" i="86"/>
  <c r="I93" i="86"/>
  <c r="F93" i="86"/>
  <c r="BQ90" i="86"/>
  <c r="BN90" i="86"/>
  <c r="BK90" i="86"/>
  <c r="BH90" i="86"/>
  <c r="BE90" i="86"/>
  <c r="AZ90" i="86"/>
  <c r="AW90" i="86"/>
  <c r="AT90" i="86"/>
  <c r="AQ90" i="86"/>
  <c r="AN90" i="86"/>
  <c r="AI90" i="86"/>
  <c r="AF90" i="86"/>
  <c r="AC90" i="86"/>
  <c r="Z90" i="86"/>
  <c r="W90" i="86"/>
  <c r="R90" i="86"/>
  <c r="O90" i="86"/>
  <c r="L90" i="86"/>
  <c r="I90" i="86"/>
  <c r="F90" i="86"/>
  <c r="BQ87" i="86"/>
  <c r="BN87" i="86"/>
  <c r="BK87" i="86"/>
  <c r="BH87" i="86"/>
  <c r="BE87" i="86"/>
  <c r="AZ87" i="86"/>
  <c r="AW87" i="86"/>
  <c r="AT87" i="86"/>
  <c r="AQ87" i="86"/>
  <c r="AN87" i="86"/>
  <c r="AI87" i="86"/>
  <c r="AF87" i="86"/>
  <c r="AC87" i="86"/>
  <c r="Z87" i="86"/>
  <c r="W87" i="86"/>
  <c r="R87" i="86"/>
  <c r="O87" i="86"/>
  <c r="L87" i="86"/>
  <c r="I87" i="86"/>
  <c r="F87" i="86"/>
  <c r="BQ84" i="86"/>
  <c r="BN84" i="86"/>
  <c r="BK84" i="86"/>
  <c r="BH84" i="86"/>
  <c r="BE84" i="86"/>
  <c r="AZ84" i="86"/>
  <c r="AW84" i="86"/>
  <c r="AT84" i="86"/>
  <c r="AQ84" i="86"/>
  <c r="AN84" i="86"/>
  <c r="AI84" i="86"/>
  <c r="AF84" i="86"/>
  <c r="AC84" i="86"/>
  <c r="Z84" i="86"/>
  <c r="W84" i="86"/>
  <c r="R84" i="86"/>
  <c r="O84" i="86"/>
  <c r="L84" i="86"/>
  <c r="I84" i="86"/>
  <c r="F84" i="86"/>
  <c r="BQ82" i="86"/>
  <c r="BO82" i="86"/>
  <c r="BN82" i="86"/>
  <c r="BL82" i="86"/>
  <c r="BK82" i="86"/>
  <c r="BI82" i="86"/>
  <c r="BH82" i="86"/>
  <c r="BF82" i="86"/>
  <c r="BE82" i="86"/>
  <c r="BC82" i="86"/>
  <c r="AZ82" i="86"/>
  <c r="AX82" i="86"/>
  <c r="AW82" i="86"/>
  <c r="AU82" i="86"/>
  <c r="AT82" i="86"/>
  <c r="AR82" i="86"/>
  <c r="AQ82" i="86"/>
  <c r="AO82" i="86"/>
  <c r="AN82" i="86"/>
  <c r="AL82" i="86"/>
  <c r="AI82" i="86"/>
  <c r="AG82" i="86"/>
  <c r="AF82" i="86"/>
  <c r="AD82" i="86"/>
  <c r="AC82" i="86"/>
  <c r="AA82" i="86"/>
  <c r="Z82" i="86"/>
  <c r="X82" i="86"/>
  <c r="W82" i="86"/>
  <c r="U82" i="86"/>
  <c r="R82" i="86"/>
  <c r="P82" i="86"/>
  <c r="O82" i="86"/>
  <c r="M82" i="86"/>
  <c r="L82" i="86"/>
  <c r="J82" i="86"/>
  <c r="I82" i="86"/>
  <c r="G82" i="86"/>
  <c r="F82" i="86"/>
  <c r="D82" i="86"/>
  <c r="BO81" i="86"/>
  <c r="BL81" i="86"/>
  <c r="BI81" i="86"/>
  <c r="BF81" i="86"/>
  <c r="BC81" i="86"/>
  <c r="AX81" i="86"/>
  <c r="AU81" i="86"/>
  <c r="AR81" i="86"/>
  <c r="AO81" i="86"/>
  <c r="AL81" i="86"/>
  <c r="AG81" i="86"/>
  <c r="AD81" i="86"/>
  <c r="AA81" i="86"/>
  <c r="X81" i="86"/>
  <c r="U81" i="86"/>
  <c r="P81" i="86"/>
  <c r="M81" i="86"/>
  <c r="J81" i="86"/>
  <c r="G81" i="86"/>
  <c r="D81" i="86"/>
  <c r="BO80" i="86"/>
  <c r="BL80" i="86"/>
  <c r="BI80" i="86"/>
  <c r="BF80" i="86"/>
  <c r="BC80" i="86"/>
  <c r="AX80" i="86"/>
  <c r="AU80" i="86"/>
  <c r="AR80" i="86"/>
  <c r="AO80" i="86"/>
  <c r="AL80" i="86"/>
  <c r="AG80" i="86"/>
  <c r="AD80" i="86"/>
  <c r="AA80" i="86"/>
  <c r="X80" i="86"/>
  <c r="U80" i="86"/>
  <c r="P80" i="86"/>
  <c r="M80" i="86"/>
  <c r="J80" i="86"/>
  <c r="G80" i="86"/>
  <c r="D80" i="86"/>
  <c r="BO79" i="86"/>
  <c r="BL79" i="86"/>
  <c r="BI79" i="86"/>
  <c r="BF79" i="86"/>
  <c r="BC79" i="86"/>
  <c r="AX79" i="86"/>
  <c r="AU79" i="86"/>
  <c r="AR79" i="86"/>
  <c r="AO79" i="86"/>
  <c r="AL79" i="86"/>
  <c r="AG79" i="86"/>
  <c r="AD79" i="86"/>
  <c r="AA79" i="86"/>
  <c r="X79" i="86"/>
  <c r="U79" i="86"/>
  <c r="P79" i="86"/>
  <c r="M79" i="86"/>
  <c r="J79" i="86"/>
  <c r="G79" i="86"/>
  <c r="D79" i="86"/>
  <c r="H75" i="86"/>
  <c r="BG75" i="86" s="1"/>
  <c r="BA74" i="86"/>
  <c r="AJ74" i="86"/>
  <c r="S74" i="86"/>
  <c r="H74" i="86"/>
  <c r="AP74" i="86" s="1"/>
  <c r="B74" i="86"/>
  <c r="BA73" i="86"/>
  <c r="AJ73" i="86"/>
  <c r="S73" i="86"/>
  <c r="H73" i="86"/>
  <c r="AP73" i="86" s="1"/>
  <c r="B73" i="86"/>
  <c r="BA72" i="86"/>
  <c r="AJ72" i="86"/>
  <c r="S72" i="86"/>
  <c r="H72" i="86"/>
  <c r="BG72" i="86" s="1"/>
  <c r="B72" i="86"/>
  <c r="A70" i="86"/>
  <c r="O26" i="39"/>
  <c r="L26" i="39"/>
  <c r="L25" i="39"/>
  <c r="A2" i="93"/>
  <c r="F18" i="39"/>
  <c r="C24" i="39"/>
  <c r="U5" i="94"/>
  <c r="U2" i="89"/>
  <c r="U17" i="89" s="1"/>
  <c r="U5" i="89"/>
  <c r="U9" i="89"/>
  <c r="U18" i="89"/>
  <c r="BQ50" i="86"/>
  <c r="BN50" i="86"/>
  <c r="BK50" i="86"/>
  <c r="BH50" i="86"/>
  <c r="BE50" i="86"/>
  <c r="BQ48" i="86"/>
  <c r="BN48" i="86"/>
  <c r="BK48" i="86"/>
  <c r="BH48" i="86"/>
  <c r="BE48" i="86"/>
  <c r="BQ46" i="86"/>
  <c r="BN46" i="86"/>
  <c r="BK46" i="86"/>
  <c r="BH46" i="86"/>
  <c r="BE46" i="86"/>
  <c r="AZ50" i="86"/>
  <c r="AW50" i="86"/>
  <c r="AT50" i="86"/>
  <c r="AQ50" i="86"/>
  <c r="AN50" i="86"/>
  <c r="AZ48" i="86"/>
  <c r="AW48" i="86"/>
  <c r="AT48" i="86"/>
  <c r="AQ48" i="86"/>
  <c r="AN48" i="86"/>
  <c r="AZ46" i="86"/>
  <c r="AW46" i="86"/>
  <c r="AT46" i="86"/>
  <c r="AQ46" i="86"/>
  <c r="AN46" i="86"/>
  <c r="AI50" i="86"/>
  <c r="AF50" i="86"/>
  <c r="AC50" i="86"/>
  <c r="Z50" i="86"/>
  <c r="W50" i="86"/>
  <c r="AI48" i="86"/>
  <c r="AF48" i="86"/>
  <c r="AC48" i="86"/>
  <c r="Z48" i="86"/>
  <c r="W48" i="86"/>
  <c r="AI46" i="86"/>
  <c r="AF46" i="86"/>
  <c r="AC46" i="86"/>
  <c r="Z46" i="86"/>
  <c r="W46" i="86"/>
  <c r="C89" i="91"/>
  <c r="C59" i="91"/>
  <c r="B59" i="91"/>
  <c r="B29" i="91"/>
  <c r="C29" i="91"/>
  <c r="Q26" i="39"/>
  <c r="G26" i="39"/>
  <c r="D26" i="39"/>
  <c r="C26" i="39"/>
  <c r="C48" i="39"/>
  <c r="N4" i="38"/>
  <c r="N3" i="38"/>
  <c r="U2" i="94"/>
  <c r="D40" i="94" s="1"/>
  <c r="J48" i="94"/>
  <c r="D48" i="94"/>
  <c r="H40" i="94"/>
  <c r="E40" i="94"/>
  <c r="F31" i="94"/>
  <c r="Q28" i="94" s="1"/>
  <c r="U17" i="94"/>
  <c r="C69" i="91"/>
  <c r="B66" i="91"/>
  <c r="B67" i="91"/>
  <c r="B68" i="91"/>
  <c r="B69" i="91"/>
  <c r="B70" i="91"/>
  <c r="B71" i="91"/>
  <c r="B72" i="91"/>
  <c r="B73" i="91"/>
  <c r="B74" i="91"/>
  <c r="B75" i="91"/>
  <c r="B76" i="91"/>
  <c r="B77" i="91"/>
  <c r="B78" i="91"/>
  <c r="B79" i="91"/>
  <c r="B80" i="91"/>
  <c r="B81" i="91"/>
  <c r="B82" i="91"/>
  <c r="B84" i="91"/>
  <c r="B85" i="91"/>
  <c r="B86" i="91"/>
  <c r="B87" i="91"/>
  <c r="B88" i="91"/>
  <c r="B65" i="91"/>
  <c r="D63" i="91"/>
  <c r="D62" i="91"/>
  <c r="C88" i="91"/>
  <c r="C87" i="91"/>
  <c r="C86" i="91"/>
  <c r="C85" i="91"/>
  <c r="C82" i="91"/>
  <c r="C81" i="91"/>
  <c r="C80" i="91"/>
  <c r="C79" i="91"/>
  <c r="C78" i="91"/>
  <c r="C77" i="91"/>
  <c r="C76" i="91"/>
  <c r="C75" i="91"/>
  <c r="C74" i="91"/>
  <c r="C73" i="91"/>
  <c r="C72" i="91"/>
  <c r="C71" i="91"/>
  <c r="D70" i="91"/>
  <c r="C68" i="91"/>
  <c r="C67" i="91"/>
  <c r="C66" i="91"/>
  <c r="C65" i="91"/>
  <c r="C64" i="91"/>
  <c r="A63" i="91"/>
  <c r="B63" i="91" s="1"/>
  <c r="A62" i="91"/>
  <c r="A61" i="91"/>
  <c r="B61" i="91" s="1"/>
  <c r="B13" i="91"/>
  <c r="B12" i="91"/>
  <c r="B11" i="91"/>
  <c r="B47" i="91"/>
  <c r="B43" i="91"/>
  <c r="B42" i="91"/>
  <c r="B41" i="91"/>
  <c r="B58" i="91"/>
  <c r="B57" i="91"/>
  <c r="B56" i="91"/>
  <c r="B55" i="91"/>
  <c r="B54" i="91"/>
  <c r="B52" i="91"/>
  <c r="B51" i="91"/>
  <c r="B50" i="91"/>
  <c r="B49" i="91"/>
  <c r="B48" i="91"/>
  <c r="B46" i="91"/>
  <c r="B45" i="91"/>
  <c r="B44" i="91"/>
  <c r="B40" i="91"/>
  <c r="B39" i="91"/>
  <c r="B38" i="91"/>
  <c r="B37" i="91"/>
  <c r="B36" i="91"/>
  <c r="B35" i="91"/>
  <c r="D33" i="91"/>
  <c r="D32" i="91"/>
  <c r="C47" i="91"/>
  <c r="C58" i="91"/>
  <c r="C57" i="91"/>
  <c r="C56" i="91"/>
  <c r="C55" i="91"/>
  <c r="C54" i="91"/>
  <c r="C52" i="91"/>
  <c r="C51" i="91"/>
  <c r="C50" i="91"/>
  <c r="C49" i="91"/>
  <c r="C48" i="91"/>
  <c r="C46" i="91"/>
  <c r="C45" i="91"/>
  <c r="C44" i="91"/>
  <c r="C43" i="91"/>
  <c r="C42" i="91"/>
  <c r="C41" i="91"/>
  <c r="D40" i="91"/>
  <c r="C39" i="91"/>
  <c r="C38" i="91"/>
  <c r="C37" i="91"/>
  <c r="C36" i="91"/>
  <c r="C35" i="91"/>
  <c r="C34" i="91"/>
  <c r="A33" i="91"/>
  <c r="B33" i="91" s="1"/>
  <c r="A32" i="91"/>
  <c r="B32" i="91" s="1"/>
  <c r="A31" i="91"/>
  <c r="B31" i="91" s="1"/>
  <c r="B28" i="91"/>
  <c r="B27" i="91"/>
  <c r="B26" i="91"/>
  <c r="B25" i="91"/>
  <c r="B24" i="91"/>
  <c r="C28" i="91"/>
  <c r="C27" i="91"/>
  <c r="C26" i="91"/>
  <c r="C25" i="91"/>
  <c r="D28" i="91"/>
  <c r="BO43" i="86"/>
  <c r="BL43" i="86"/>
  <c r="BI43" i="86"/>
  <c r="BF43" i="86"/>
  <c r="BC43" i="86"/>
  <c r="AX43" i="86"/>
  <c r="AU43" i="86"/>
  <c r="AR43" i="86"/>
  <c r="AO43" i="86"/>
  <c r="AL43" i="86"/>
  <c r="AG43" i="86"/>
  <c r="AD43" i="86"/>
  <c r="AA43" i="86"/>
  <c r="X43" i="86"/>
  <c r="U43" i="86"/>
  <c r="P43" i="86"/>
  <c r="M43" i="86"/>
  <c r="J43" i="86"/>
  <c r="G43" i="86"/>
  <c r="D43" i="86"/>
  <c r="BO42" i="86"/>
  <c r="BL42" i="86"/>
  <c r="BI42" i="86"/>
  <c r="BF42" i="86"/>
  <c r="BC42" i="86"/>
  <c r="AX42" i="86"/>
  <c r="AU42" i="86"/>
  <c r="AR42" i="86"/>
  <c r="AO42" i="86"/>
  <c r="AL42" i="86"/>
  <c r="AG42" i="86"/>
  <c r="AD42" i="86"/>
  <c r="AA42" i="86"/>
  <c r="X42" i="86"/>
  <c r="U42" i="86"/>
  <c r="P42" i="86"/>
  <c r="M42" i="86"/>
  <c r="J42" i="86"/>
  <c r="G42" i="86"/>
  <c r="D42" i="86"/>
  <c r="BO41" i="86"/>
  <c r="BL41" i="86"/>
  <c r="BI41" i="86"/>
  <c r="BF41" i="86"/>
  <c r="BC41" i="86"/>
  <c r="AX41" i="86"/>
  <c r="AU41" i="86"/>
  <c r="AR41" i="86"/>
  <c r="AO41" i="86"/>
  <c r="AL41" i="86"/>
  <c r="AG41" i="86"/>
  <c r="AD41" i="86"/>
  <c r="AA41" i="86"/>
  <c r="X41" i="86"/>
  <c r="U41" i="86"/>
  <c r="P41" i="86"/>
  <c r="M41" i="86"/>
  <c r="J41" i="86"/>
  <c r="G41" i="86"/>
  <c r="D41" i="86"/>
  <c r="H37" i="86"/>
  <c r="AP37" i="86" s="1"/>
  <c r="BA36" i="86"/>
  <c r="AJ36" i="86"/>
  <c r="S36" i="86"/>
  <c r="H36" i="86"/>
  <c r="AP36" i="86" s="1"/>
  <c r="B36" i="86"/>
  <c r="BA35" i="86"/>
  <c r="AJ35" i="86"/>
  <c r="S35" i="86"/>
  <c r="H35" i="86"/>
  <c r="BG35" i="86" s="1"/>
  <c r="B35" i="86"/>
  <c r="BA34" i="86"/>
  <c r="AJ34" i="86"/>
  <c r="S34" i="86"/>
  <c r="H34" i="86"/>
  <c r="BG34" i="86" s="1"/>
  <c r="B34" i="86"/>
  <c r="C22" i="91"/>
  <c r="B22" i="91"/>
  <c r="F15" i="86"/>
  <c r="C11" i="91"/>
  <c r="R48" i="86"/>
  <c r="O48" i="86"/>
  <c r="L48" i="86"/>
  <c r="I48" i="86"/>
  <c r="F48" i="86"/>
  <c r="C4" i="91"/>
  <c r="A13" i="86" s="1"/>
  <c r="A14" i="86" s="1"/>
  <c r="B18" i="91"/>
  <c r="C18" i="91"/>
  <c r="B14" i="91"/>
  <c r="C14" i="91"/>
  <c r="B21" i="91"/>
  <c r="B20" i="91"/>
  <c r="B19" i="91"/>
  <c r="C17" i="91"/>
  <c r="C16" i="91"/>
  <c r="C15" i="91"/>
  <c r="B17" i="91"/>
  <c r="B16" i="91"/>
  <c r="B15" i="91"/>
  <c r="C13" i="91"/>
  <c r="C12" i="91"/>
  <c r="B5" i="91"/>
  <c r="D37" i="39" a="1"/>
  <c r="Q29" i="39" a="1"/>
  <c r="G27" i="39" a="1"/>
  <c r="Q27" i="39" a="1"/>
  <c r="G41" i="39" a="1"/>
  <c r="V12" i="94"/>
  <c r="D36" i="39" a="1"/>
  <c r="G40" i="39" a="1"/>
  <c r="G38" i="39" a="1"/>
  <c r="G30" i="39" a="1"/>
  <c r="D38" i="39" a="1"/>
  <c r="G36" i="39" a="1"/>
  <c r="D40" i="39" a="1"/>
  <c r="G43" i="39" a="1"/>
  <c r="Q31" i="39" a="1"/>
  <c r="Q39" i="39" a="1"/>
  <c r="D30" i="39" a="1"/>
  <c r="D44" i="39" a="1"/>
  <c r="Q40" i="39" a="1"/>
  <c r="Q28" i="39" a="1"/>
  <c r="D35" i="39" a="1"/>
  <c r="Q43" i="39" a="1"/>
  <c r="Q35" i="39" a="1"/>
  <c r="Q42" i="39" a="1"/>
  <c r="D39" i="39" a="1"/>
  <c r="Q33" i="39" a="1"/>
  <c r="G42" i="39" a="1"/>
  <c r="G44" i="39" a="1"/>
  <c r="Q36" i="39" a="1"/>
  <c r="G33" i="39" a="1"/>
  <c r="G39" i="39" a="1"/>
  <c r="G45" i="39" a="1"/>
  <c r="G31" i="39" a="1"/>
  <c r="Q38" i="39" a="1"/>
  <c r="G34" i="39" a="1"/>
  <c r="U13" i="89"/>
  <c r="D29" i="39" a="1"/>
  <c r="D28" i="39" a="1"/>
  <c r="G37" i="39" a="1"/>
  <c r="D41" i="39" a="1"/>
  <c r="Q45" i="39" a="1"/>
  <c r="G32" i="39" a="1"/>
  <c r="D33" i="39" a="1"/>
  <c r="D46" i="39" a="1"/>
  <c r="G28" i="39" a="1"/>
  <c r="G35" i="39" a="1"/>
  <c r="D31" i="39" a="1"/>
  <c r="G29" i="39" a="1"/>
  <c r="Q32" i="39" a="1"/>
  <c r="Q37" i="39" a="1"/>
  <c r="D42" i="39" a="1"/>
  <c r="Q30" i="39" a="1"/>
  <c r="D32" i="39" a="1"/>
  <c r="Q46" i="39" a="1"/>
  <c r="D45" i="39" a="1"/>
  <c r="D27" i="39" a="1"/>
  <c r="G46" i="39" a="1"/>
  <c r="D43" i="39" a="1"/>
  <c r="Q34" i="39" a="1"/>
  <c r="Q44" i="39" a="1"/>
  <c r="Q41" i="39" a="1"/>
  <c r="D34" i="39" a="1"/>
  <c r="AG14" i="89" l="1"/>
  <c r="B14" i="94"/>
  <c r="D32" i="94"/>
  <c r="BG144" i="86"/>
  <c r="Y174" i="86"/>
  <c r="AP72" i="86"/>
  <c r="Y103" i="86"/>
  <c r="AP103" i="86"/>
  <c r="Y141" i="86"/>
  <c r="A82" i="86"/>
  <c r="A164" i="86"/>
  <c r="Y144" i="86"/>
  <c r="Y172" i="86"/>
  <c r="A86" i="86"/>
  <c r="Y73" i="86"/>
  <c r="AP142" i="86"/>
  <c r="AP173" i="86"/>
  <c r="A152" i="86"/>
  <c r="A89" i="86"/>
  <c r="A92" i="86"/>
  <c r="A95" i="86"/>
  <c r="BG142" i="86"/>
  <c r="A161" i="86"/>
  <c r="Y175" i="86"/>
  <c r="AP172" i="86"/>
  <c r="BG73" i="86"/>
  <c r="A158" i="86"/>
  <c r="AP175" i="86"/>
  <c r="BG141" i="86"/>
  <c r="BG174" i="86"/>
  <c r="A83" i="86"/>
  <c r="A155" i="86"/>
  <c r="Y143" i="86"/>
  <c r="BG143" i="86"/>
  <c r="BG173" i="86"/>
  <c r="Y75" i="86"/>
  <c r="Y72" i="86"/>
  <c r="BG74" i="86"/>
  <c r="AP104" i="86"/>
  <c r="BG105" i="86"/>
  <c r="Y74" i="86"/>
  <c r="AP75" i="86"/>
  <c r="Y105" i="86"/>
  <c r="AP106" i="86"/>
  <c r="BG104" i="86"/>
  <c r="BG106" i="86"/>
  <c r="Q46" i="39"/>
  <c r="D36" i="39"/>
  <c r="D44" i="39"/>
  <c r="D31" i="39"/>
  <c r="D35" i="39"/>
  <c r="G40" i="39"/>
  <c r="Q41" i="39"/>
  <c r="Q45" i="39"/>
  <c r="D28" i="39"/>
  <c r="G33" i="39"/>
  <c r="G41" i="39"/>
  <c r="G28" i="39"/>
  <c r="G32" i="39"/>
  <c r="Q37" i="39"/>
  <c r="D43" i="39"/>
  <c r="Q28" i="39"/>
  <c r="D30" i="39"/>
  <c r="G31" i="39"/>
  <c r="Q32" i="39"/>
  <c r="D34" i="39"/>
  <c r="G35" i="39"/>
  <c r="Q36" i="39"/>
  <c r="D38" i="39"/>
  <c r="G39" i="39"/>
  <c r="Q40" i="39"/>
  <c r="D42" i="39"/>
  <c r="G43" i="39"/>
  <c r="Q44" i="39"/>
  <c r="D46" i="39"/>
  <c r="Q30" i="39"/>
  <c r="Q38" i="39"/>
  <c r="G45" i="39"/>
  <c r="G36" i="39"/>
  <c r="G29" i="39"/>
  <c r="Q34" i="39"/>
  <c r="Q42" i="39"/>
  <c r="D29" i="39"/>
  <c r="Q31" i="39"/>
  <c r="D33" i="39"/>
  <c r="G34" i="39"/>
  <c r="Q35" i="39"/>
  <c r="D37" i="39"/>
  <c r="G38" i="39"/>
  <c r="Q39" i="39"/>
  <c r="D41" i="39"/>
  <c r="G42" i="39"/>
  <c r="Q43" i="39"/>
  <c r="D45" i="39"/>
  <c r="G46" i="39"/>
  <c r="D32" i="39"/>
  <c r="G37" i="39"/>
  <c r="D40" i="39"/>
  <c r="Q29" i="39"/>
  <c r="Q33" i="39"/>
  <c r="D39" i="39"/>
  <c r="G44" i="39"/>
  <c r="G30" i="39"/>
  <c r="D9" i="94"/>
  <c r="G27" i="39"/>
  <c r="Q27" i="39"/>
  <c r="D27" i="39"/>
  <c r="F24" i="94"/>
  <c r="U16" i="94"/>
  <c r="G40" i="94"/>
  <c r="D31" i="94"/>
  <c r="D46" i="94"/>
  <c r="N31" i="94"/>
  <c r="B62" i="91"/>
  <c r="Y35" i="86"/>
  <c r="AP35" i="86"/>
  <c r="Y37" i="86"/>
  <c r="BG36" i="86"/>
  <c r="BG37" i="86"/>
  <c r="Y34" i="86"/>
  <c r="Y36" i="86"/>
  <c r="AP34" i="86"/>
  <c r="V16" i="89"/>
  <c r="U10" i="94"/>
  <c r="U10" i="89"/>
  <c r="V14" i="89"/>
  <c r="V13" i="89"/>
  <c r="V10" i="89"/>
  <c r="U15" i="94"/>
  <c r="U12" i="94"/>
  <c r="V13" i="94"/>
  <c r="U14" i="89"/>
  <c r="V10" i="94"/>
  <c r="V15" i="94"/>
  <c r="V12" i="89"/>
  <c r="U12" i="89"/>
  <c r="U13" i="94"/>
  <c r="V11" i="94"/>
  <c r="U16" i="89"/>
  <c r="V11" i="89"/>
  <c r="U11" i="94"/>
  <c r="U11" i="89"/>
  <c r="C5" i="91" l="1"/>
  <c r="A23" i="86" l="1"/>
  <c r="A26" i="86"/>
  <c r="A20" i="86"/>
  <c r="A17" i="86"/>
  <c r="F50" i="86"/>
  <c r="R50" i="86"/>
  <c r="O50" i="86"/>
  <c r="L50" i="86"/>
  <c r="I50" i="86"/>
  <c r="BQ27" i="86" l="1"/>
  <c r="BQ24" i="86"/>
  <c r="BQ21" i="86"/>
  <c r="BQ18" i="86"/>
  <c r="BQ15" i="86"/>
  <c r="BN27" i="86"/>
  <c r="BN24" i="86"/>
  <c r="BN21" i="86"/>
  <c r="BN18" i="86"/>
  <c r="BN15" i="86"/>
  <c r="BK27" i="86"/>
  <c r="BK24" i="86"/>
  <c r="BK21" i="86"/>
  <c r="BK18" i="86"/>
  <c r="BK15" i="86"/>
  <c r="BH27" i="86"/>
  <c r="BH24" i="86"/>
  <c r="BH21" i="86"/>
  <c r="BH18" i="86"/>
  <c r="BH15" i="86"/>
  <c r="BE27" i="86"/>
  <c r="BE24" i="86"/>
  <c r="BE21" i="86"/>
  <c r="BE18" i="86"/>
  <c r="BE15" i="86"/>
  <c r="AZ27" i="86"/>
  <c r="AZ24" i="86"/>
  <c r="AZ21" i="86"/>
  <c r="AZ18" i="86"/>
  <c r="AZ15" i="86"/>
  <c r="AW27" i="86"/>
  <c r="AW24" i="86"/>
  <c r="AW21" i="86"/>
  <c r="AW18" i="86"/>
  <c r="AW15" i="86"/>
  <c r="AT27" i="86"/>
  <c r="AT24" i="86"/>
  <c r="AT21" i="86"/>
  <c r="AT18" i="86"/>
  <c r="AT15" i="86"/>
  <c r="AQ27" i="86"/>
  <c r="AQ24" i="86"/>
  <c r="AQ21" i="86"/>
  <c r="AQ18" i="86"/>
  <c r="AQ15" i="86"/>
  <c r="AN27" i="86"/>
  <c r="AN24" i="86"/>
  <c r="AN21" i="86"/>
  <c r="AN18" i="86"/>
  <c r="AN15" i="86"/>
  <c r="AI27" i="86"/>
  <c r="AI24" i="86"/>
  <c r="AI21" i="86"/>
  <c r="AI18" i="86"/>
  <c r="AI15" i="86"/>
  <c r="AF27" i="86"/>
  <c r="AF24" i="86"/>
  <c r="AF21" i="86"/>
  <c r="AF18" i="86"/>
  <c r="AF15" i="86"/>
  <c r="AC27" i="86"/>
  <c r="AC24" i="86"/>
  <c r="AC21" i="86"/>
  <c r="AC18" i="86"/>
  <c r="AC15" i="86"/>
  <c r="Z27" i="86"/>
  <c r="Z24" i="86"/>
  <c r="Z21" i="86"/>
  <c r="Z18" i="86"/>
  <c r="Z15" i="86"/>
  <c r="W27" i="86"/>
  <c r="W24" i="86"/>
  <c r="W21" i="86"/>
  <c r="W18" i="86"/>
  <c r="W15" i="86"/>
  <c r="R46" i="86"/>
  <c r="R27" i="86"/>
  <c r="R24" i="86"/>
  <c r="R21" i="86"/>
  <c r="R18" i="86"/>
  <c r="R15" i="86"/>
  <c r="O46" i="86"/>
  <c r="O27" i="86"/>
  <c r="O24" i="86"/>
  <c r="O21" i="86"/>
  <c r="O18" i="86"/>
  <c r="O15" i="86"/>
  <c r="L46" i="86"/>
  <c r="L27" i="86"/>
  <c r="L24" i="86"/>
  <c r="L21" i="86"/>
  <c r="L18" i="86"/>
  <c r="L15" i="86"/>
  <c r="I46" i="86"/>
  <c r="I27" i="86"/>
  <c r="I24" i="86"/>
  <c r="I21" i="86"/>
  <c r="I18" i="86"/>
  <c r="I15" i="86"/>
  <c r="F46" i="86"/>
  <c r="F27" i="86"/>
  <c r="F24" i="86"/>
  <c r="F21" i="86"/>
  <c r="F18" i="86"/>
  <c r="H6" i="86" l="1"/>
  <c r="BO54" i="86" l="1"/>
  <c r="BL54" i="86"/>
  <c r="BI54" i="86"/>
  <c r="BF54" i="86"/>
  <c r="BC54" i="86"/>
  <c r="AX54" i="86"/>
  <c r="AU54" i="86"/>
  <c r="AR54" i="86"/>
  <c r="AO54" i="86"/>
  <c r="AL54" i="86"/>
  <c r="N38" i="38"/>
  <c r="N39" i="38"/>
  <c r="N40" i="38"/>
  <c r="N41" i="38"/>
  <c r="N37" i="38"/>
  <c r="N33" i="38"/>
  <c r="N34" i="38"/>
  <c r="N35" i="38"/>
  <c r="N36" i="38"/>
  <c r="N32" i="38"/>
  <c r="N28" i="38"/>
  <c r="N29" i="38"/>
  <c r="N30" i="38"/>
  <c r="N31" i="38"/>
  <c r="N27" i="38"/>
  <c r="N23" i="38"/>
  <c r="N24" i="38"/>
  <c r="N25" i="38"/>
  <c r="N26" i="38"/>
  <c r="N22" i="38"/>
  <c r="C6" i="91"/>
  <c r="C7" i="91"/>
  <c r="C8" i="91"/>
  <c r="C9" i="91"/>
  <c r="N6" i="38" l="1"/>
  <c r="AG13" i="94"/>
  <c r="D34" i="94" s="1"/>
  <c r="B6" i="38"/>
  <c r="BQ13" i="86"/>
  <c r="BO13" i="86"/>
  <c r="BN13" i="86"/>
  <c r="BL13" i="86"/>
  <c r="BK13" i="86"/>
  <c r="BI13" i="86"/>
  <c r="BH13" i="86"/>
  <c r="BF13" i="86"/>
  <c r="BE13" i="86"/>
  <c r="BC13" i="86"/>
  <c r="AZ13" i="86"/>
  <c r="AX13" i="86"/>
  <c r="AW13" i="86"/>
  <c r="AU13" i="86"/>
  <c r="AT13" i="86"/>
  <c r="AR13" i="86"/>
  <c r="AQ13" i="86"/>
  <c r="AO13" i="86"/>
  <c r="AN13" i="86"/>
  <c r="AL13" i="86"/>
  <c r="AI13" i="86"/>
  <c r="AG13" i="86"/>
  <c r="AF13" i="86"/>
  <c r="AD13" i="86"/>
  <c r="AC13" i="86"/>
  <c r="AA13" i="86"/>
  <c r="Z13" i="86"/>
  <c r="X13" i="86"/>
  <c r="W13" i="86"/>
  <c r="U13" i="86"/>
  <c r="R13" i="86"/>
  <c r="P13" i="86"/>
  <c r="O13" i="86"/>
  <c r="M13" i="86"/>
  <c r="L13" i="86"/>
  <c r="J13" i="86"/>
  <c r="I13" i="86"/>
  <c r="G13" i="86"/>
  <c r="F13" i="86"/>
  <c r="D13" i="86"/>
  <c r="D10" i="86"/>
  <c r="AO10" i="86"/>
  <c r="BO10" i="86"/>
  <c r="BL10" i="86"/>
  <c r="BI10" i="86"/>
  <c r="BF10" i="86"/>
  <c r="BC10" i="86"/>
  <c r="AX10" i="86"/>
  <c r="AU10" i="86"/>
  <c r="AR10" i="86"/>
  <c r="AL10" i="86"/>
  <c r="AG10" i="86"/>
  <c r="AD10" i="86"/>
  <c r="AA10" i="86"/>
  <c r="X10" i="86"/>
  <c r="U10" i="86"/>
  <c r="P10" i="86"/>
  <c r="M10" i="86"/>
  <c r="J10" i="86"/>
  <c r="G10" i="86"/>
  <c r="D11" i="86"/>
  <c r="BA106" i="86" l="1"/>
  <c r="AJ37" i="86"/>
  <c r="AJ106" i="86"/>
  <c r="S106" i="86"/>
  <c r="BA144" i="86"/>
  <c r="B144" i="86"/>
  <c r="S75" i="86"/>
  <c r="AJ75" i="86"/>
  <c r="S144" i="86"/>
  <c r="BA37" i="86"/>
  <c r="S37" i="86"/>
  <c r="BA75" i="86"/>
  <c r="B37" i="86"/>
  <c r="AJ175" i="86"/>
  <c r="AJ144" i="86"/>
  <c r="S175" i="86"/>
  <c r="B175" i="86"/>
  <c r="B75" i="86"/>
  <c r="B106" i="86"/>
  <c r="BA175" i="86"/>
  <c r="V206" i="86"/>
  <c r="AL129" i="86"/>
  <c r="M87" i="86"/>
  <c r="AO158" i="86"/>
  <c r="AD129" i="86"/>
  <c r="BA114" i="86"/>
  <c r="BF96" i="86"/>
  <c r="BL84" i="86"/>
  <c r="A198" i="86"/>
  <c r="S114" i="86"/>
  <c r="AG95" i="86"/>
  <c r="AU92" i="86"/>
  <c r="BI89" i="86"/>
  <c r="AD87" i="86"/>
  <c r="BA161" i="86"/>
  <c r="U99" i="86"/>
  <c r="AA95" i="86"/>
  <c r="AL92" i="86"/>
  <c r="BA89" i="86"/>
  <c r="J84" i="86"/>
  <c r="AO93" i="86"/>
  <c r="A120" i="86"/>
  <c r="A99" i="86"/>
  <c r="U90" i="86"/>
  <c r="AJ86" i="86"/>
  <c r="BO87" i="86"/>
  <c r="U83" i="86"/>
  <c r="A165" i="86"/>
  <c r="AG86" i="86"/>
  <c r="A156" i="86"/>
  <c r="BC136" i="86"/>
  <c r="AU84" i="86"/>
  <c r="S83" i="86"/>
  <c r="BO92" i="86"/>
  <c r="AR83" i="86"/>
  <c r="BO93" i="86"/>
  <c r="BA95" i="86"/>
  <c r="AG84" i="86"/>
  <c r="BC95" i="86"/>
  <c r="D92" i="86"/>
  <c r="B185" i="86"/>
  <c r="BF87" i="86"/>
  <c r="G155" i="86"/>
  <c r="D98" i="86"/>
  <c r="B164" i="86"/>
  <c r="AR87" i="86"/>
  <c r="U98" i="86"/>
  <c r="AJ161" i="86"/>
  <c r="A87" i="86"/>
  <c r="M92" i="86"/>
  <c r="BI95" i="86"/>
  <c r="D129" i="86"/>
  <c r="AO161" i="86"/>
  <c r="P86" i="86"/>
  <c r="BC90" i="86"/>
  <c r="BI93" i="86"/>
  <c r="A117" i="86"/>
  <c r="BF161" i="86"/>
  <c r="M84" i="86"/>
  <c r="U87" i="86"/>
  <c r="BC92" i="86"/>
  <c r="W100" i="86"/>
  <c r="BF158" i="86"/>
  <c r="V137" i="86"/>
  <c r="S183" i="86"/>
  <c r="AD165" i="86"/>
  <c r="AG162" i="86"/>
  <c r="AL159" i="86"/>
  <c r="AO156" i="86"/>
  <c r="AD153" i="86"/>
  <c r="AL204" i="86"/>
  <c r="AX168" i="86"/>
  <c r="BO164" i="86"/>
  <c r="AX161" i="86"/>
  <c r="BC158" i="86"/>
  <c r="BI155" i="86"/>
  <c r="BO152" i="86"/>
  <c r="A129" i="86"/>
  <c r="X95" i="86"/>
  <c r="BL86" i="86"/>
  <c r="E137" i="86"/>
  <c r="AJ187" i="86"/>
  <c r="S164" i="86"/>
  <c r="BF155" i="86"/>
  <c r="D131" i="86"/>
  <c r="D99" i="86"/>
  <c r="D204" i="86"/>
  <c r="BA185" i="86"/>
  <c r="AL165" i="86"/>
  <c r="AO162" i="86"/>
  <c r="AD159" i="86"/>
  <c r="AG156" i="86"/>
  <c r="AL153" i="86"/>
  <c r="BC203" i="86"/>
  <c r="A184" i="86"/>
  <c r="AM68" i="86"/>
  <c r="BA183" i="86"/>
  <c r="AG165" i="86"/>
  <c r="AL162" i="86"/>
  <c r="AO159" i="86"/>
  <c r="AD156" i="86"/>
  <c r="AG153" i="86"/>
  <c r="BI129" i="86"/>
  <c r="AO99" i="86"/>
  <c r="S92" i="86"/>
  <c r="BF83" i="86"/>
  <c r="D90" i="86"/>
  <c r="X93" i="86"/>
  <c r="M99" i="86"/>
  <c r="B158" i="86"/>
  <c r="BF84" i="86"/>
  <c r="P89" i="86"/>
  <c r="AL96" i="86"/>
  <c r="BA152" i="86"/>
  <c r="A194" i="86"/>
  <c r="G8" i="93"/>
  <c r="G12" i="93"/>
  <c r="B14" i="86"/>
  <c r="BI96" i="86"/>
  <c r="AX84" i="86"/>
  <c r="AJ99" i="86"/>
  <c r="AA93" i="86"/>
  <c r="U203" i="86"/>
  <c r="U89" i="86"/>
  <c r="M168" i="86"/>
  <c r="B116" i="86"/>
  <c r="AD168" i="86"/>
  <c r="AX89" i="86"/>
  <c r="A113" i="86"/>
  <c r="BA164" i="86"/>
  <c r="AA89" i="86"/>
  <c r="AR92" i="86"/>
  <c r="AR96" i="86"/>
  <c r="AO129" i="86"/>
  <c r="AJ168" i="86"/>
  <c r="AU86" i="86"/>
  <c r="BO90" i="86"/>
  <c r="G95" i="86"/>
  <c r="A124" i="86"/>
  <c r="G164" i="86"/>
  <c r="AA84" i="86"/>
  <c r="AG87" i="86"/>
  <c r="J95" i="86"/>
  <c r="G161" i="86"/>
  <c r="AL205" i="86"/>
  <c r="W169" i="86"/>
  <c r="P165" i="86"/>
  <c r="U162" i="86"/>
  <c r="X159" i="86"/>
  <c r="AA156" i="86"/>
  <c r="P153" i="86"/>
  <c r="AL202" i="86"/>
  <c r="AA168" i="86"/>
  <c r="AR164" i="86"/>
  <c r="AA161" i="86"/>
  <c r="AG158" i="86"/>
  <c r="AL155" i="86"/>
  <c r="AR152" i="86"/>
  <c r="A119" i="86"/>
  <c r="B95" i="86"/>
  <c r="AO86" i="86"/>
  <c r="U204" i="86"/>
  <c r="A186" i="86"/>
  <c r="A162" i="86"/>
  <c r="AJ155" i="86"/>
  <c r="AR129" i="86"/>
  <c r="BO96" i="86"/>
  <c r="D202" i="86"/>
  <c r="BE169" i="86"/>
  <c r="X165" i="86"/>
  <c r="AA162" i="86"/>
  <c r="P159" i="86"/>
  <c r="U156" i="86"/>
  <c r="X153" i="86"/>
  <c r="BC201" i="86"/>
  <c r="BL168" i="86"/>
  <c r="AL203" i="86"/>
  <c r="AN169" i="86"/>
  <c r="A188" i="86"/>
  <c r="X99" i="86"/>
  <c r="BI86" i="86"/>
  <c r="D132" i="86"/>
  <c r="BL95" i="86"/>
  <c r="BC83" i="86"/>
  <c r="AG90" i="86"/>
  <c r="BC205" i="86"/>
  <c r="B129" i="86"/>
  <c r="D83" i="86"/>
  <c r="BI90" i="86"/>
  <c r="BA116" i="86"/>
  <c r="BA168" i="86"/>
  <c r="BC89" i="86"/>
  <c r="D93" i="86"/>
  <c r="AL98" i="86"/>
  <c r="AL132" i="86"/>
  <c r="U198" i="86"/>
  <c r="D89" i="86"/>
  <c r="U92" i="86"/>
  <c r="AL95" i="86"/>
  <c r="M129" i="86"/>
  <c r="BF168" i="86"/>
  <c r="AO84" i="86"/>
  <c r="AU87" i="86"/>
  <c r="AO95" i="86"/>
  <c r="A125" i="86"/>
  <c r="BL161" i="86"/>
  <c r="D203" i="86"/>
  <c r="BC168" i="86"/>
  <c r="D165" i="86"/>
  <c r="G162" i="86"/>
  <c r="J159" i="86"/>
  <c r="M156" i="86"/>
  <c r="D153" i="86"/>
  <c r="D200" i="86"/>
  <c r="D168" i="86"/>
  <c r="U164" i="86"/>
  <c r="D161" i="86"/>
  <c r="J158" i="86"/>
  <c r="P155" i="86"/>
  <c r="U152" i="86"/>
  <c r="B114" i="86"/>
  <c r="BA92" i="86"/>
  <c r="S86" i="86"/>
  <c r="U202" i="86"/>
  <c r="A182" i="86"/>
  <c r="AU161" i="86"/>
  <c r="D198" i="86"/>
  <c r="BE100" i="86"/>
  <c r="P87" i="86"/>
  <c r="B152" i="86"/>
  <c r="X96" i="86"/>
  <c r="U84" i="86"/>
  <c r="J92" i="86"/>
  <c r="D86" i="86"/>
  <c r="D135" i="86"/>
  <c r="G84" i="86"/>
  <c r="AJ92" i="86"/>
  <c r="G129" i="86"/>
  <c r="J90" i="86"/>
  <c r="P93" i="86"/>
  <c r="AG99" i="86"/>
  <c r="AL136" i="86"/>
  <c r="BC204" i="86"/>
  <c r="AG89" i="86"/>
  <c r="AX92" i="86"/>
  <c r="BO95" i="86"/>
  <c r="BC129" i="86"/>
  <c r="AU198" i="86"/>
  <c r="BC84" i="86"/>
  <c r="BI87" i="86"/>
  <c r="D96" i="86"/>
  <c r="P129" i="86"/>
  <c r="X164" i="86"/>
  <c r="D201" i="86"/>
  <c r="AG168" i="86"/>
  <c r="AX164" i="86"/>
  <c r="BC161" i="86"/>
  <c r="BI158" i="86"/>
  <c r="BO155" i="86"/>
  <c r="AX152" i="86"/>
  <c r="AR198" i="86"/>
  <c r="BO165" i="86"/>
  <c r="BF162" i="86"/>
  <c r="BI159" i="86"/>
  <c r="BL156" i="86"/>
  <c r="BO153" i="86"/>
  <c r="BC135" i="86"/>
  <c r="BA99" i="86"/>
  <c r="AD92" i="86"/>
  <c r="A84" i="86"/>
  <c r="BO198" i="86"/>
  <c r="AU168" i="86"/>
  <c r="X161" i="86"/>
  <c r="AD83" i="86"/>
  <c r="A123" i="86"/>
  <c r="BC87" i="86"/>
  <c r="BC202" i="86"/>
  <c r="BF99" i="86"/>
  <c r="AL84" i="86"/>
  <c r="BI99" i="86"/>
  <c r="AD89" i="86"/>
  <c r="BF152" i="86"/>
  <c r="X84" i="86"/>
  <c r="M93" i="86"/>
  <c r="U135" i="86"/>
  <c r="AA83" i="86"/>
  <c r="X90" i="86"/>
  <c r="AD93" i="86"/>
  <c r="BO99" i="86"/>
  <c r="BL89" i="86"/>
  <c r="G93" i="86"/>
  <c r="P96" i="86"/>
  <c r="U133" i="86"/>
  <c r="BO84" i="86"/>
  <c r="G89" i="86"/>
  <c r="AG96" i="86"/>
  <c r="BF129" i="86"/>
  <c r="B183" i="86"/>
  <c r="AX198" i="86"/>
  <c r="J168" i="86"/>
  <c r="AA164" i="86"/>
  <c r="AG161" i="86"/>
  <c r="AL158" i="86"/>
  <c r="AR155" i="86"/>
  <c r="AA152" i="86"/>
  <c r="S198" i="86"/>
  <c r="BC165" i="86"/>
  <c r="AR162" i="86"/>
  <c r="AU159" i="86"/>
  <c r="AX156" i="86"/>
  <c r="BC153" i="86"/>
  <c r="BC133" i="86"/>
  <c r="AR86" i="86"/>
  <c r="AX129" i="86"/>
  <c r="G90" i="86"/>
  <c r="AX83" i="86"/>
  <c r="AJ118" i="86"/>
  <c r="B86" i="86"/>
  <c r="B128" i="86"/>
  <c r="P92" i="86"/>
  <c r="S155" i="86"/>
  <c r="BI84" i="86"/>
  <c r="U95" i="86"/>
  <c r="A153" i="86"/>
  <c r="BA83" i="86"/>
  <c r="AL90" i="86"/>
  <c r="AR93" i="86"/>
  <c r="AJ114" i="86"/>
  <c r="M152" i="86"/>
  <c r="G83" i="86"/>
  <c r="M90" i="86"/>
  <c r="U93" i="86"/>
  <c r="AU96" i="86"/>
  <c r="AD152" i="86"/>
  <c r="J83" i="86"/>
  <c r="U86" i="86"/>
  <c r="AL89" i="86"/>
  <c r="BL96" i="86"/>
  <c r="D134" i="86"/>
  <c r="BC198" i="86"/>
  <c r="X198" i="86"/>
  <c r="D167" i="86"/>
  <c r="D164" i="86"/>
  <c r="J161" i="86"/>
  <c r="P158" i="86"/>
  <c r="U155" i="86"/>
  <c r="D152" i="86"/>
  <c r="S197" i="86"/>
  <c r="AO165" i="86"/>
  <c r="AD162" i="86"/>
  <c r="AG159" i="86"/>
  <c r="AL156" i="86"/>
  <c r="AO153" i="86"/>
  <c r="U131" i="86"/>
  <c r="G99" i="86"/>
  <c r="BF89" i="86"/>
  <c r="X83" i="86"/>
  <c r="P198" i="86"/>
  <c r="B168" i="86"/>
  <c r="BA158" i="86"/>
  <c r="S152" i="86"/>
  <c r="E100" i="86"/>
  <c r="M96" i="86"/>
  <c r="A197" i="86"/>
  <c r="A168" i="86"/>
  <c r="P164" i="86"/>
  <c r="U161" i="86"/>
  <c r="D158" i="86"/>
  <c r="J155" i="86"/>
  <c r="P152" i="86"/>
  <c r="G152" i="86"/>
  <c r="AD161" i="86"/>
  <c r="AL86" i="86"/>
  <c r="AJ158" i="86"/>
  <c r="AL99" i="86"/>
  <c r="X92" i="86"/>
  <c r="A193" i="86"/>
  <c r="BC156" i="86"/>
  <c r="M165" i="86"/>
  <c r="M153" i="86"/>
  <c r="M89" i="86"/>
  <c r="BL164" i="86"/>
  <c r="AL135" i="86"/>
  <c r="AO96" i="86"/>
  <c r="S187" i="86"/>
  <c r="AL164" i="86"/>
  <c r="D159" i="86"/>
  <c r="BL153" i="86"/>
  <c r="AG198" i="86"/>
  <c r="BF164" i="86"/>
  <c r="S185" i="86"/>
  <c r="G165" i="86"/>
  <c r="BI161" i="86"/>
  <c r="AR158" i="86"/>
  <c r="D155" i="86"/>
  <c r="BC134" i="86"/>
  <c r="BL99" i="86"/>
  <c r="A90" i="86"/>
  <c r="AL83" i="86"/>
  <c r="AR90" i="86"/>
  <c r="P95" i="86"/>
  <c r="U134" i="86"/>
  <c r="U200" i="86"/>
  <c r="AA86" i="86"/>
  <c r="B92" i="86"/>
  <c r="AN100" i="86"/>
  <c r="A159" i="86"/>
  <c r="G6" i="93"/>
  <c r="A17" i="93"/>
  <c r="G21" i="93"/>
  <c r="AL66" i="86"/>
  <c r="AO60" i="86"/>
  <c r="BA49" i="86"/>
  <c r="AA60" i="86"/>
  <c r="AX60" i="86"/>
  <c r="M60" i="86"/>
  <c r="D20" i="86"/>
  <c r="A24" i="86"/>
  <c r="P60" i="86"/>
  <c r="U20" i="86"/>
  <c r="D62" i="86"/>
  <c r="A54" i="86"/>
  <c r="G159" i="86"/>
  <c r="BL198" i="86"/>
  <c r="AL152" i="86"/>
  <c r="BC159" i="86"/>
  <c r="A127" i="86"/>
  <c r="J93" i="86"/>
  <c r="AX95" i="86"/>
  <c r="B59" i="86"/>
  <c r="X155" i="86"/>
  <c r="AA153" i="86"/>
  <c r="A189" i="86"/>
  <c r="BC167" i="86"/>
  <c r="A115" i="86"/>
  <c r="BL93" i="86"/>
  <c r="AR89" i="86"/>
  <c r="A12" i="93"/>
  <c r="AU60" i="86"/>
  <c r="A56" i="86"/>
  <c r="D87" i="86"/>
  <c r="M86" i="86"/>
  <c r="AX90" i="86"/>
  <c r="AG83" i="86"/>
  <c r="AO155" i="86"/>
  <c r="J99" i="86"/>
  <c r="BF165" i="86"/>
  <c r="BF153" i="86"/>
  <c r="P162" i="86"/>
  <c r="AU129" i="86"/>
  <c r="AU83" i="86"/>
  <c r="AO164" i="86"/>
  <c r="AL133" i="86"/>
  <c r="AA96" i="86"/>
  <c r="BO168" i="86"/>
  <c r="BO162" i="86"/>
  <c r="AX158" i="86"/>
  <c r="AX153" i="86"/>
  <c r="J198" i="86"/>
  <c r="AJ164" i="86"/>
  <c r="BI168" i="86"/>
  <c r="BC164" i="86"/>
  <c r="AL161" i="86"/>
  <c r="U158" i="86"/>
  <c r="BI153" i="86"/>
  <c r="BC132" i="86"/>
  <c r="S99" i="86"/>
  <c r="AU89" i="86"/>
  <c r="BO83" i="86"/>
  <c r="BF90" i="86"/>
  <c r="AR95" i="86"/>
  <c r="AU152" i="86"/>
  <c r="V68" i="86"/>
  <c r="BF86" i="86"/>
  <c r="AG92" i="86"/>
  <c r="A128" i="86"/>
  <c r="S161" i="86"/>
  <c r="A15" i="93"/>
  <c r="A6" i="93"/>
  <c r="B49" i="86"/>
  <c r="D63" i="86"/>
  <c r="X60" i="86"/>
  <c r="D65" i="86"/>
  <c r="AJ45" i="86"/>
  <c r="AL60" i="86"/>
  <c r="AR60" i="86"/>
  <c r="AL65" i="86"/>
  <c r="BI60" i="86"/>
  <c r="U65" i="86"/>
  <c r="AD60" i="86"/>
  <c r="S49" i="86"/>
  <c r="A96" i="86"/>
  <c r="BL165" i="86"/>
  <c r="AU156" i="86"/>
  <c r="BL162" i="86"/>
  <c r="AJ95" i="86"/>
  <c r="AU99" i="86"/>
  <c r="AL87" i="86"/>
  <c r="BF60" i="86"/>
  <c r="AL63" i="86"/>
  <c r="A51" i="86"/>
  <c r="BO156" i="86"/>
  <c r="AO152" i="86"/>
  <c r="BI198" i="86"/>
  <c r="AA155" i="86"/>
  <c r="BL129" i="86"/>
  <c r="BC99" i="86"/>
  <c r="A4" i="93"/>
  <c r="G60" i="86"/>
  <c r="AL64" i="86"/>
  <c r="AU90" i="86"/>
  <c r="AO87" i="86"/>
  <c r="AA87" i="86"/>
  <c r="BL90" i="86"/>
  <c r="BI83" i="86"/>
  <c r="AU158" i="86"/>
  <c r="AR99" i="86"/>
  <c r="AR165" i="86"/>
  <c r="AR153" i="86"/>
  <c r="D162" i="86"/>
  <c r="U129" i="86"/>
  <c r="B83" i="86"/>
  <c r="B161" i="86"/>
  <c r="S129" i="86"/>
  <c r="AM206" i="86"/>
  <c r="AR168" i="86"/>
  <c r="BC162" i="86"/>
  <c r="AA158" i="86"/>
  <c r="J153" i="86"/>
  <c r="A196" i="86"/>
  <c r="M164" i="86"/>
  <c r="AL168" i="86"/>
  <c r="AG164" i="86"/>
  <c r="P161" i="86"/>
  <c r="BF156" i="86"/>
  <c r="AU153" i="86"/>
  <c r="AG129" i="86"/>
  <c r="BC98" i="86"/>
  <c r="X89" i="86"/>
  <c r="X86" i="86"/>
  <c r="AA92" i="86"/>
  <c r="U96" i="86"/>
  <c r="BA155" i="86"/>
  <c r="P83" i="86"/>
  <c r="J87" i="86"/>
  <c r="BI92" i="86"/>
  <c r="AA129" i="86"/>
  <c r="AU164" i="86"/>
  <c r="G4" i="93"/>
  <c r="A19" i="93"/>
  <c r="BL60" i="86"/>
  <c r="A27" i="86"/>
  <c r="D64" i="86"/>
  <c r="A58" i="86"/>
  <c r="BA47" i="86"/>
  <c r="S47" i="86"/>
  <c r="B26" i="86"/>
  <c r="D66" i="86"/>
  <c r="X152" i="86"/>
  <c r="BA118" i="86"/>
  <c r="AJ185" i="86"/>
  <c r="P156" i="86"/>
  <c r="BA86" i="86"/>
  <c r="AL134" i="86"/>
  <c r="A15" i="86"/>
  <c r="BC65" i="86"/>
  <c r="B60" i="86"/>
  <c r="U165" i="86"/>
  <c r="A10" i="93"/>
  <c r="A50" i="86"/>
  <c r="AA198" i="86"/>
  <c r="D133" i="86"/>
  <c r="J96" i="86"/>
  <c r="BF93" i="86"/>
  <c r="AA90" i="86"/>
  <c r="AJ83" i="86"/>
  <c r="AJ152" i="86"/>
  <c r="BI162" i="86"/>
  <c r="BD137" i="86"/>
  <c r="U159" i="86"/>
  <c r="AD99" i="86"/>
  <c r="BD206" i="86"/>
  <c r="AD158" i="86"/>
  <c r="S128" i="86"/>
  <c r="E68" i="86"/>
  <c r="U168" i="86"/>
  <c r="M162" i="86"/>
  <c r="BI156" i="86"/>
  <c r="BI152" i="86"/>
  <c r="B187" i="86"/>
  <c r="AL201" i="86"/>
  <c r="P168" i="86"/>
  <c r="J164" i="86"/>
  <c r="BO159" i="86"/>
  <c r="AR156" i="86"/>
  <c r="U153" i="86"/>
  <c r="J129" i="86"/>
  <c r="BF95" i="86"/>
  <c r="B89" i="86"/>
  <c r="BC86" i="86"/>
  <c r="BF92" i="86"/>
  <c r="AX96" i="86"/>
  <c r="BL158" i="86"/>
  <c r="AO83" i="86"/>
  <c r="X87" i="86"/>
  <c r="S95" i="86"/>
  <c r="BO129" i="86"/>
  <c r="G168" i="86"/>
  <c r="A44" i="86"/>
  <c r="G17" i="93"/>
  <c r="B45" i="86"/>
  <c r="AJ49" i="86"/>
  <c r="A57" i="86"/>
  <c r="A18" i="86"/>
  <c r="J60" i="86"/>
  <c r="AD96" i="86"/>
  <c r="AL167" i="86"/>
  <c r="M161" i="86"/>
  <c r="S60" i="86"/>
  <c r="BC60" i="86"/>
  <c r="U132" i="86"/>
  <c r="BC96" i="86"/>
  <c r="J162" i="86"/>
  <c r="AD90" i="86"/>
  <c r="M158" i="86"/>
  <c r="AJ47" i="86"/>
  <c r="A93" i="86"/>
  <c r="AD95" i="86"/>
  <c r="AO90" i="86"/>
  <c r="BL83" i="86"/>
  <c r="AU155" i="86"/>
  <c r="AU162" i="86"/>
  <c r="E206" i="86"/>
  <c r="AO198" i="86"/>
  <c r="G158" i="86"/>
  <c r="BO161" i="86"/>
  <c r="BF198" i="86"/>
  <c r="G153" i="86"/>
  <c r="J89" i="86"/>
  <c r="D84" i="86"/>
  <c r="U201" i="86"/>
  <c r="A8" i="93"/>
  <c r="U66" i="86"/>
  <c r="U63" i="86"/>
  <c r="S158" i="86"/>
  <c r="BI164" i="86"/>
  <c r="J152" i="86"/>
  <c r="BO86" i="86"/>
  <c r="BC93" i="86"/>
  <c r="AD155" i="86"/>
  <c r="S116" i="86"/>
  <c r="AG93" i="86"/>
  <c r="AX86" i="86"/>
  <c r="BL159" i="86"/>
  <c r="BA187" i="86"/>
  <c r="X156" i="86"/>
  <c r="AU95" i="86"/>
  <c r="B197" i="86"/>
  <c r="M155" i="86"/>
  <c r="AX99" i="86"/>
  <c r="AL198" i="86"/>
  <c r="AX165" i="86"/>
  <c r="AR161" i="86"/>
  <c r="G156" i="86"/>
  <c r="AM137" i="86"/>
  <c r="AO168" i="86"/>
  <c r="AD198" i="86"/>
  <c r="BI165" i="86"/>
  <c r="AX162" i="86"/>
  <c r="AA159" i="86"/>
  <c r="D156" i="86"/>
  <c r="BC152" i="86"/>
  <c r="B118" i="86"/>
  <c r="M95" i="86"/>
  <c r="AD86" i="86"/>
  <c r="AO89" i="86"/>
  <c r="AL93" i="86"/>
  <c r="A126" i="86"/>
  <c r="AD164" i="86"/>
  <c r="P84" i="86"/>
  <c r="AX87" i="86"/>
  <c r="G96" i="86"/>
  <c r="B155" i="86"/>
  <c r="BE31" i="86"/>
  <c r="A46" i="86"/>
  <c r="A21" i="93"/>
  <c r="BA45" i="86"/>
  <c r="A55" i="86"/>
  <c r="D30" i="86"/>
  <c r="BC66" i="86"/>
  <c r="BC67" i="86"/>
  <c r="A60" i="86"/>
  <c r="BO60" i="86"/>
  <c r="AG60" i="86"/>
  <c r="A59" i="86"/>
  <c r="AL67" i="86"/>
  <c r="J86" i="86"/>
  <c r="AJ89" i="86"/>
  <c r="AR159" i="86"/>
  <c r="A195" i="86"/>
  <c r="AO92" i="86"/>
  <c r="AR84" i="86"/>
  <c r="A48" i="86"/>
  <c r="S89" i="86"/>
  <c r="D95" i="86"/>
  <c r="X158" i="86"/>
  <c r="S118" i="86"/>
  <c r="AU93" i="86"/>
  <c r="G87" i="86"/>
  <c r="BD68" i="86"/>
  <c r="AX159" i="86"/>
  <c r="E169" i="86"/>
  <c r="J156" i="86"/>
  <c r="G92" i="86"/>
  <c r="A192" i="86"/>
  <c r="BL152" i="86"/>
  <c r="AA99" i="86"/>
  <c r="M198" i="86"/>
  <c r="J165" i="86"/>
  <c r="BF159" i="86"/>
  <c r="BC155" i="86"/>
  <c r="E31" i="86"/>
  <c r="S168" i="86"/>
  <c r="G198" i="86"/>
  <c r="AU165" i="86"/>
  <c r="X162" i="86"/>
  <c r="M159" i="86"/>
  <c r="AX155" i="86"/>
  <c r="AG152" i="86"/>
  <c r="AJ116" i="86"/>
  <c r="BL92" i="86"/>
  <c r="G86" i="86"/>
  <c r="P90" i="86"/>
  <c r="AX93" i="86"/>
  <c r="X129" i="86"/>
  <c r="U167" i="86"/>
  <c r="AD84" i="86"/>
  <c r="BL87" i="86"/>
  <c r="P99" i="86"/>
  <c r="BL155" i="86"/>
  <c r="G10" i="93"/>
  <c r="G19" i="93"/>
  <c r="U62" i="86"/>
  <c r="U64" i="86"/>
  <c r="S45" i="86"/>
  <c r="D60" i="86"/>
  <c r="A30" i="86"/>
  <c r="A21" i="86"/>
  <c r="U60" i="86"/>
  <c r="S59" i="86"/>
  <c r="BC63" i="86"/>
  <c r="B99" i="86"/>
  <c r="BO89" i="86"/>
  <c r="B198" i="86"/>
  <c r="AA165" i="86"/>
  <c r="X168" i="86"/>
  <c r="AG155" i="86"/>
  <c r="BO158" i="86"/>
  <c r="M83" i="86"/>
  <c r="AJ183" i="86"/>
  <c r="BC64" i="86"/>
  <c r="B47" i="86"/>
  <c r="BI23" i="86"/>
  <c r="AO17" i="86"/>
  <c r="P26" i="86"/>
  <c r="BA30" i="86"/>
  <c r="BC27" i="86"/>
  <c r="AA15" i="86"/>
  <c r="AJ20" i="86"/>
  <c r="BC14" i="86"/>
  <c r="AD23" i="86"/>
  <c r="G20" i="86"/>
  <c r="BO24" i="86"/>
  <c r="AU18" i="86"/>
  <c r="X27" i="86"/>
  <c r="J26" i="86"/>
  <c r="AJ14" i="86"/>
  <c r="AX26" i="86"/>
  <c r="AD20" i="86"/>
  <c r="G17" i="86"/>
  <c r="BA17" i="86"/>
  <c r="BC21" i="86"/>
  <c r="AG15" i="86"/>
  <c r="J24" i="86"/>
  <c r="BC18" i="86"/>
  <c r="AO15" i="86"/>
  <c r="BO20" i="86"/>
  <c r="AU14" i="86"/>
  <c r="X23" i="86"/>
  <c r="BL30" i="86"/>
  <c r="AA18" i="86"/>
  <c r="D18" i="86"/>
  <c r="P15" i="86"/>
  <c r="BO15" i="86"/>
  <c r="AR24" i="86"/>
  <c r="BL17" i="86"/>
  <c r="P23" i="86"/>
  <c r="M24" i="86"/>
  <c r="U17" i="86"/>
  <c r="BL24" i="86"/>
  <c r="J30" i="86"/>
  <c r="BF17" i="86"/>
  <c r="BF15" i="86"/>
  <c r="U21" i="86"/>
  <c r="AO14" i="86"/>
  <c r="AG18" i="86"/>
  <c r="AU30" i="86"/>
  <c r="P20" i="86"/>
  <c r="BI27" i="86"/>
  <c r="X21" i="86"/>
  <c r="BC20" i="86"/>
  <c r="D21" i="86"/>
  <c r="AD30" i="86"/>
  <c r="BI30" i="86"/>
  <c r="BF26" i="86"/>
  <c r="AL20" i="86"/>
  <c r="P14" i="86"/>
  <c r="AJ23" i="86"/>
  <c r="BC15" i="86"/>
  <c r="X18" i="86"/>
  <c r="S14" i="86"/>
  <c r="AX17" i="86"/>
  <c r="AA26" i="86"/>
  <c r="W31" i="86"/>
  <c r="BL27" i="86"/>
  <c r="AR21" i="86"/>
  <c r="X15" i="86"/>
  <c r="AX21" i="86"/>
  <c r="B23" i="86"/>
  <c r="AX14" i="86"/>
  <c r="AA23" i="86"/>
  <c r="AR15" i="86"/>
  <c r="S30" i="86"/>
  <c r="AX24" i="86"/>
  <c r="AD18" i="86"/>
  <c r="G27" i="86"/>
  <c r="AU24" i="86"/>
  <c r="AN31" i="86"/>
  <c r="BL23" i="86"/>
  <c r="AR17" i="86"/>
  <c r="U26" i="86"/>
  <c r="AJ30" i="86"/>
  <c r="U24" i="86"/>
  <c r="D23" i="86"/>
  <c r="D17" i="86"/>
  <c r="AX20" i="86"/>
  <c r="BF21" i="86"/>
  <c r="AO23" i="86"/>
  <c r="AR18" i="86"/>
  <c r="AG26" i="86"/>
  <c r="D15" i="86"/>
  <c r="S20" i="86"/>
  <c r="AL18" i="86"/>
  <c r="M26" i="86"/>
  <c r="J27" i="86"/>
  <c r="S23" i="86"/>
  <c r="J23" i="86"/>
  <c r="D27" i="86"/>
  <c r="U23" i="86"/>
  <c r="B30" i="86"/>
  <c r="G18" i="86"/>
  <c r="AG17" i="86"/>
  <c r="P30" i="86"/>
  <c r="M21" i="86"/>
  <c r="J21" i="86"/>
  <c r="AU26" i="86"/>
  <c r="AD27" i="86"/>
  <c r="AG30" i="86"/>
  <c r="BF14" i="86"/>
  <c r="AG23" i="86"/>
  <c r="M17" i="86"/>
  <c r="S17" i="86"/>
  <c r="AX18" i="86"/>
  <c r="P24" i="86"/>
  <c r="BO26" i="86"/>
  <c r="AU20" i="86"/>
  <c r="AA14" i="86"/>
  <c r="AL29" i="86"/>
  <c r="BL15" i="86"/>
  <c r="AO24" i="86"/>
  <c r="U18" i="86"/>
  <c r="M18" i="86"/>
  <c r="BO23" i="86"/>
  <c r="AU17" i="86"/>
  <c r="X26" i="86"/>
  <c r="G24" i="86"/>
  <c r="B20" i="86"/>
  <c r="AU27" i="86"/>
  <c r="AA21" i="86"/>
  <c r="G15" i="86"/>
  <c r="AO18" i="86"/>
  <c r="BO30" i="86"/>
  <c r="BI26" i="86"/>
  <c r="AO20" i="86"/>
  <c r="U14" i="86"/>
  <c r="BO18" i="86"/>
  <c r="AD14" i="86"/>
  <c r="U29" i="86"/>
  <c r="AD15" i="86"/>
  <c r="M15" i="86"/>
  <c r="AU23" i="86"/>
  <c r="BC30" i="86"/>
  <c r="BA23" i="86"/>
  <c r="AL26" i="86"/>
  <c r="U15" i="86"/>
  <c r="AG14" i="86"/>
  <c r="BA26" i="86"/>
  <c r="BF18" i="86"/>
  <c r="AA20" i="86"/>
  <c r="G30" i="86"/>
  <c r="BC17" i="86"/>
  <c r="AD26" i="86"/>
  <c r="J20" i="86"/>
  <c r="BO27" i="86"/>
  <c r="AU21" i="86"/>
  <c r="M27" i="86"/>
  <c r="BO14" i="86"/>
  <c r="AR23" i="86"/>
  <c r="X17" i="86"/>
  <c r="AX30" i="86"/>
  <c r="BI18" i="86"/>
  <c r="AL27" i="86"/>
  <c r="P21" i="86"/>
  <c r="J18" i="86"/>
  <c r="BL26" i="86"/>
  <c r="AR20" i="86"/>
  <c r="X14" i="86"/>
  <c r="AG21" i="86"/>
  <c r="BO21" i="86"/>
  <c r="AU15" i="86"/>
  <c r="X24" i="86"/>
  <c r="AL30" i="86"/>
  <c r="AG24" i="86"/>
  <c r="AO30" i="86"/>
  <c r="BI14" i="86"/>
  <c r="AL23" i="86"/>
  <c r="P17" i="86"/>
  <c r="BI24" i="86"/>
  <c r="AO27" i="86"/>
  <c r="D24" i="86"/>
  <c r="AJ26" i="86"/>
  <c r="G23" i="86"/>
  <c r="BC29" i="86"/>
  <c r="AO26" i="86"/>
  <c r="X30" i="86"/>
  <c r="AL15" i="86"/>
  <c r="BL14" i="86"/>
  <c r="G21" i="86"/>
  <c r="U27" i="86"/>
  <c r="M30" i="86"/>
  <c r="M20" i="86"/>
  <c r="AA17" i="86"/>
  <c r="BL18" i="86"/>
  <c r="BI20" i="86"/>
  <c r="BC24" i="86"/>
  <c r="BI17" i="86"/>
  <c r="D29" i="86"/>
  <c r="AO21" i="86"/>
  <c r="BA14" i="86"/>
  <c r="AR27" i="86"/>
  <c r="BF24" i="86"/>
  <c r="BA20" i="86"/>
  <c r="BO17" i="86"/>
  <c r="AR26" i="86"/>
  <c r="X20" i="86"/>
  <c r="BF30" i="86"/>
  <c r="BI21" i="86"/>
  <c r="AD24" i="86"/>
  <c r="AA30" i="86"/>
  <c r="BF23" i="86"/>
  <c r="AL17" i="86"/>
  <c r="M14" i="86"/>
  <c r="AJ17" i="86"/>
  <c r="AX27" i="86"/>
  <c r="AD21" i="86"/>
  <c r="J15" i="86"/>
  <c r="U30" i="86"/>
  <c r="BF20" i="86"/>
  <c r="AL14" i="86"/>
  <c r="M23" i="86"/>
  <c r="AR30" i="86"/>
  <c r="BI15" i="86"/>
  <c r="AL24" i="86"/>
  <c r="P18" i="86"/>
  <c r="BL21" i="86"/>
  <c r="P27" i="86"/>
  <c r="S26" i="86"/>
  <c r="AX23" i="86"/>
  <c r="AD17" i="86"/>
  <c r="G26" i="86"/>
  <c r="AL21" i="86"/>
  <c r="D14" i="86"/>
  <c r="BL20" i="86"/>
  <c r="AR14" i="86"/>
  <c r="AA27" i="86"/>
  <c r="BC26" i="86"/>
  <c r="AG20" i="86"/>
  <c r="J17" i="86"/>
  <c r="AX15" i="86"/>
  <c r="AA24" i="86"/>
  <c r="BC23" i="86"/>
  <c r="J14" i="86"/>
  <c r="AG27" i="86"/>
  <c r="BF27" i="86"/>
  <c r="B17" i="86"/>
  <c r="G14" i="86"/>
  <c r="D26" i="86"/>
  <c r="D35" i="89"/>
  <c r="A3" i="91"/>
  <c r="J8" i="93" l="1"/>
  <c r="J9" i="93" s="1"/>
  <c r="B8" i="93"/>
  <c r="B9" i="93" s="1"/>
  <c r="K8" i="93"/>
  <c r="K9" i="93" s="1"/>
  <c r="E8" i="93"/>
  <c r="E9" i="93" s="1"/>
  <c r="H8" i="93"/>
  <c r="H9" i="93" s="1"/>
  <c r="C8" i="93"/>
  <c r="C9" i="93" s="1"/>
  <c r="L8" i="93"/>
  <c r="L9" i="93" s="1"/>
  <c r="I8" i="93"/>
  <c r="I9" i="93" s="1"/>
  <c r="F8" i="93"/>
  <c r="F9" i="93" s="1"/>
  <c r="D8" i="93"/>
  <c r="D9" i="93" s="1"/>
  <c r="C17" i="93"/>
  <c r="C18" i="93" s="1"/>
  <c r="B17" i="93"/>
  <c r="B18" i="93" s="1"/>
  <c r="K17" i="93"/>
  <c r="K18" i="93" s="1"/>
  <c r="H17" i="93"/>
  <c r="H18" i="93" s="1"/>
  <c r="J17" i="93"/>
  <c r="J18" i="93" s="1"/>
  <c r="F17" i="93"/>
  <c r="F18" i="93" s="1"/>
  <c r="L17" i="93"/>
  <c r="L18" i="93" s="1"/>
  <c r="E17" i="93"/>
  <c r="E18" i="93" s="1"/>
  <c r="D17" i="93"/>
  <c r="D18" i="93" s="1"/>
  <c r="I17" i="93"/>
  <c r="I18" i="93" s="1"/>
  <c r="J21" i="93"/>
  <c r="J22" i="93" s="1"/>
  <c r="H21" i="93"/>
  <c r="H22" i="93" s="1"/>
  <c r="D21" i="93"/>
  <c r="D22" i="93" s="1"/>
  <c r="E21" i="93"/>
  <c r="E22" i="93" s="1"/>
  <c r="L21" i="93"/>
  <c r="L22" i="93" s="1"/>
  <c r="B21" i="93"/>
  <c r="B22" i="93" s="1"/>
  <c r="K21" i="93"/>
  <c r="K22" i="93" s="1"/>
  <c r="F21" i="93"/>
  <c r="F22" i="93" s="1"/>
  <c r="I21" i="93"/>
  <c r="I22" i="93" s="1"/>
  <c r="C21" i="93"/>
  <c r="C22" i="93" s="1"/>
  <c r="A45" i="86"/>
  <c r="A49" i="86"/>
  <c r="A187" i="86"/>
  <c r="A116" i="86"/>
  <c r="A185" i="86"/>
  <c r="A183" i="86"/>
  <c r="A114" i="86"/>
  <c r="A118" i="86"/>
  <c r="A47" i="86"/>
  <c r="F6" i="93"/>
  <c r="F7" i="93" s="1"/>
  <c r="C6" i="93"/>
  <c r="C7" i="93" s="1"/>
  <c r="E6" i="93"/>
  <c r="E7" i="93" s="1"/>
  <c r="L6" i="93"/>
  <c r="L7" i="93" s="1"/>
  <c r="K6" i="93"/>
  <c r="K7" i="93" s="1"/>
  <c r="J6" i="93"/>
  <c r="J7" i="93" s="1"/>
  <c r="H6" i="93"/>
  <c r="H7" i="93" s="1"/>
  <c r="D6" i="93"/>
  <c r="D7" i="93" s="1"/>
  <c r="I6" i="93"/>
  <c r="I7" i="93" s="1"/>
  <c r="B6" i="93"/>
  <c r="B7" i="93" s="1"/>
  <c r="C19" i="93"/>
  <c r="C20" i="93" s="1"/>
  <c r="K19" i="93"/>
  <c r="K20" i="93" s="1"/>
  <c r="B19" i="93"/>
  <c r="B20" i="93" s="1"/>
  <c r="E19" i="93"/>
  <c r="E20" i="93" s="1"/>
  <c r="J19" i="93"/>
  <c r="J20" i="93" s="1"/>
  <c r="L19" i="93"/>
  <c r="L20" i="93" s="1"/>
  <c r="I19" i="93"/>
  <c r="I20" i="93" s="1"/>
  <c r="F19" i="93"/>
  <c r="F20" i="93" s="1"/>
  <c r="H19" i="93"/>
  <c r="H20" i="93" s="1"/>
  <c r="D19" i="93"/>
  <c r="D20" i="93" s="1"/>
  <c r="J10" i="93"/>
  <c r="J11" i="93" s="1"/>
  <c r="H10" i="93"/>
  <c r="H11" i="93" s="1"/>
  <c r="D10" i="93"/>
  <c r="D11" i="93" s="1"/>
  <c r="E10" i="93"/>
  <c r="E11" i="93" s="1"/>
  <c r="L10" i="93"/>
  <c r="L11" i="93" s="1"/>
  <c r="I10" i="93"/>
  <c r="I11" i="93" s="1"/>
  <c r="F10" i="93"/>
  <c r="F11" i="93" s="1"/>
  <c r="B10" i="93"/>
  <c r="B11" i="93" s="1"/>
  <c r="K10" i="93"/>
  <c r="K11" i="93" s="1"/>
  <c r="C10" i="93"/>
  <c r="C11" i="93" s="1"/>
  <c r="J4" i="93"/>
  <c r="J5" i="93" s="1"/>
  <c r="B4" i="93"/>
  <c r="B5" i="93" s="1"/>
  <c r="D4" i="93"/>
  <c r="D5" i="93" s="1"/>
  <c r="C4" i="93"/>
  <c r="C5" i="93" s="1"/>
  <c r="K4" i="93"/>
  <c r="K5" i="93" s="1"/>
  <c r="I4" i="93"/>
  <c r="I5" i="93" s="1"/>
  <c r="L4" i="93"/>
  <c r="L5" i="93" s="1"/>
  <c r="H4" i="93"/>
  <c r="H5" i="93" s="1"/>
  <c r="E4" i="93"/>
  <c r="E5" i="93" s="1"/>
  <c r="F4" i="93"/>
  <c r="F5" i="93" s="1"/>
  <c r="L12" i="93"/>
  <c r="L13" i="93" s="1"/>
  <c r="J12" i="93"/>
  <c r="J13" i="93" s="1"/>
  <c r="I12" i="93"/>
  <c r="I13" i="93" s="1"/>
  <c r="F12" i="93"/>
  <c r="F13" i="93" s="1"/>
  <c r="H12" i="93"/>
  <c r="H13" i="93" s="1"/>
  <c r="D12" i="93"/>
  <c r="D13" i="93" s="1"/>
  <c r="E12" i="93"/>
  <c r="E13" i="93" s="1"/>
  <c r="B12" i="93"/>
  <c r="B13" i="93" s="1"/>
  <c r="C12" i="93"/>
  <c r="C13" i="93" s="1"/>
  <c r="K12" i="93"/>
  <c r="K13" i="93" s="1"/>
  <c r="F21" i="39"/>
  <c r="W36" i="39"/>
  <c r="W35" i="39"/>
  <c r="Y6" i="86"/>
  <c r="P57" i="39"/>
  <c r="L57" i="39"/>
  <c r="C57" i="39"/>
  <c r="G57" i="39"/>
  <c r="C74" i="39"/>
  <c r="C67" i="39"/>
  <c r="B6" i="91"/>
  <c r="B7" i="91"/>
  <c r="B8" i="91"/>
  <c r="B9" i="91"/>
  <c r="B10" i="91"/>
  <c r="B3" i="91"/>
  <c r="D2" i="91"/>
  <c r="A2" i="91"/>
  <c r="A1" i="91"/>
  <c r="B1" i="91" s="1"/>
  <c r="C63" i="39"/>
  <c r="C61" i="39"/>
  <c r="C59" i="39"/>
  <c r="C54" i="39"/>
  <c r="C53" i="39"/>
  <c r="P17" i="39"/>
  <c r="L17" i="39"/>
  <c r="F17" i="39"/>
  <c r="C17" i="39"/>
  <c r="C15" i="39"/>
  <c r="H21" i="38"/>
  <c r="E21" i="38"/>
  <c r="E11" i="38"/>
  <c r="B21" i="38"/>
  <c r="B11" i="38"/>
  <c r="H11" i="38"/>
  <c r="J12" i="38"/>
  <c r="D10" i="91"/>
  <c r="E3" i="38"/>
  <c r="E2" i="38"/>
  <c r="Z1" i="94" s="1"/>
  <c r="Q14" i="39"/>
  <c r="O14" i="39"/>
  <c r="N14" i="39"/>
  <c r="M14" i="39"/>
  <c r="L14" i="39"/>
  <c r="J14" i="39"/>
  <c r="I14" i="39"/>
  <c r="H14" i="39"/>
  <c r="G14" i="39"/>
  <c r="E14" i="39"/>
  <c r="D14" i="39"/>
  <c r="C14" i="39"/>
  <c r="C8" i="39"/>
  <c r="F9" i="39"/>
  <c r="F10" i="39"/>
  <c r="Q8" i="39"/>
  <c r="O8" i="39"/>
  <c r="N8" i="39"/>
  <c r="M8" i="39"/>
  <c r="L8" i="39"/>
  <c r="J8" i="39"/>
  <c r="I8" i="39"/>
  <c r="H8" i="39"/>
  <c r="G8" i="39"/>
  <c r="E8" i="39"/>
  <c r="D8" i="39"/>
  <c r="C7" i="39"/>
  <c r="C6" i="39"/>
  <c r="J23" i="38"/>
  <c r="J24" i="38"/>
  <c r="J25" i="38"/>
  <c r="J26" i="38"/>
  <c r="J27" i="38"/>
  <c r="J28" i="38"/>
  <c r="J29" i="38"/>
  <c r="J30" i="38"/>
  <c r="J31" i="38"/>
  <c r="J32" i="38"/>
  <c r="J33" i="38"/>
  <c r="J34" i="38"/>
  <c r="J35" i="38"/>
  <c r="J36" i="38"/>
  <c r="J37" i="38"/>
  <c r="J38" i="38"/>
  <c r="J39" i="38"/>
  <c r="J40" i="38"/>
  <c r="J41" i="38"/>
  <c r="J22" i="38"/>
  <c r="J13" i="38"/>
  <c r="J14" i="38"/>
  <c r="J15" i="38"/>
  <c r="J16" i="38"/>
  <c r="J17" i="38"/>
  <c r="J18" i="38"/>
  <c r="J19" i="38"/>
  <c r="E4" i="38"/>
  <c r="E5" i="38"/>
  <c r="E6" i="38"/>
  <c r="E7" i="38"/>
  <c r="G1" i="90"/>
  <c r="A44" i="38" s="1"/>
  <c r="V5" i="39"/>
  <c r="U5" i="39"/>
  <c r="BA31" i="86" l="1"/>
  <c r="AJ169" i="86"/>
  <c r="BA100" i="86"/>
  <c r="S169" i="86"/>
  <c r="AJ100" i="86"/>
  <c r="A169" i="86"/>
  <c r="S100" i="86"/>
  <c r="A100" i="86"/>
  <c r="A31" i="86"/>
  <c r="A207" i="86"/>
  <c r="BA169" i="86"/>
  <c r="A138" i="86"/>
  <c r="S31" i="86"/>
  <c r="AJ31" i="86"/>
  <c r="A36" i="86"/>
  <c r="A105" i="86"/>
  <c r="A74" i="86"/>
  <c r="A143" i="86"/>
  <c r="A174" i="86"/>
  <c r="B43" i="86"/>
  <c r="B181" i="86"/>
  <c r="B150" i="86"/>
  <c r="B112" i="86"/>
  <c r="B81" i="86"/>
  <c r="A34" i="86"/>
  <c r="A72" i="86"/>
  <c r="A172" i="86"/>
  <c r="A141" i="86"/>
  <c r="A103" i="86"/>
  <c r="A37" i="86"/>
  <c r="A175" i="86"/>
  <c r="A144" i="86"/>
  <c r="A106" i="86"/>
  <c r="A75" i="86"/>
  <c r="B42" i="86"/>
  <c r="B180" i="86"/>
  <c r="B149" i="86"/>
  <c r="B111" i="86"/>
  <c r="B80" i="86"/>
  <c r="AO173" i="86"/>
  <c r="AO142" i="86"/>
  <c r="G104" i="86"/>
  <c r="X73" i="86"/>
  <c r="BF104" i="86"/>
  <c r="X173" i="86"/>
  <c r="X142" i="86"/>
  <c r="AO104" i="86"/>
  <c r="BF73" i="86"/>
  <c r="G73" i="86"/>
  <c r="AO73" i="86"/>
  <c r="BF173" i="86"/>
  <c r="G173" i="86"/>
  <c r="BF142" i="86"/>
  <c r="X104" i="86"/>
  <c r="G142" i="86"/>
  <c r="A35" i="86"/>
  <c r="A142" i="86"/>
  <c r="A104" i="86"/>
  <c r="A73" i="86"/>
  <c r="A173" i="86"/>
  <c r="BF172" i="86"/>
  <c r="X103" i="86"/>
  <c r="AO72" i="86"/>
  <c r="G172" i="86"/>
  <c r="BF141" i="86"/>
  <c r="G141" i="86"/>
  <c r="BF103" i="86"/>
  <c r="X72" i="86"/>
  <c r="AO172" i="86"/>
  <c r="AO141" i="86"/>
  <c r="G103" i="86"/>
  <c r="AO103" i="86"/>
  <c r="G72" i="86"/>
  <c r="BF72" i="86"/>
  <c r="X172" i="86"/>
  <c r="X141" i="86"/>
  <c r="BF74" i="86"/>
  <c r="G143" i="86"/>
  <c r="AO105" i="86"/>
  <c r="BF174" i="86"/>
  <c r="G174" i="86"/>
  <c r="BF143" i="86"/>
  <c r="AO74" i="86"/>
  <c r="X105" i="86"/>
  <c r="AO174" i="86"/>
  <c r="AO143" i="86"/>
  <c r="X74" i="86"/>
  <c r="X143" i="86"/>
  <c r="G105" i="86"/>
  <c r="X174" i="86"/>
  <c r="BF105" i="86"/>
  <c r="G74" i="86"/>
  <c r="G144" i="86"/>
  <c r="BF175" i="86"/>
  <c r="BF106" i="86"/>
  <c r="BF144" i="86"/>
  <c r="AO106" i="86"/>
  <c r="BF75" i="86"/>
  <c r="G75" i="86"/>
  <c r="AO175" i="86"/>
  <c r="X106" i="86"/>
  <c r="AO75" i="86"/>
  <c r="AO144" i="86"/>
  <c r="X75" i="86"/>
  <c r="X175" i="86"/>
  <c r="G106" i="86"/>
  <c r="X144" i="86"/>
  <c r="G175" i="86"/>
  <c r="AO34" i="86"/>
  <c r="X34" i="86"/>
  <c r="BF34" i="86"/>
  <c r="G34" i="86"/>
  <c r="S42" i="86"/>
  <c r="AJ42" i="86"/>
  <c r="BA42" i="86"/>
  <c r="BF37" i="86"/>
  <c r="X37" i="86"/>
  <c r="G37" i="86"/>
  <c r="AO37" i="86"/>
  <c r="S43" i="86"/>
  <c r="BA43" i="86"/>
  <c r="AJ43" i="86"/>
  <c r="BF36" i="86"/>
  <c r="AO36" i="86"/>
  <c r="X36" i="86"/>
  <c r="G36" i="86"/>
  <c r="BF35" i="86"/>
  <c r="G35" i="86"/>
  <c r="AO35" i="86"/>
  <c r="X35" i="86"/>
  <c r="B2" i="91"/>
  <c r="G6" i="86"/>
  <c r="H5" i="86"/>
  <c r="Y5" i="86" s="1"/>
  <c r="H4" i="86"/>
  <c r="AP4" i="86" s="1"/>
  <c r="H3" i="86"/>
  <c r="Y3" i="86" s="1"/>
  <c r="A6" i="86"/>
  <c r="G5" i="86"/>
  <c r="G4" i="86"/>
  <c r="B11" i="86"/>
  <c r="G3" i="86"/>
  <c r="A5" i="86"/>
  <c r="A3" i="86"/>
  <c r="A4" i="86"/>
  <c r="B12" i="86"/>
  <c r="F8" i="39"/>
  <c r="Z1" i="89"/>
  <c r="AP6" i="86"/>
  <c r="BG6" i="86"/>
  <c r="F14" i="39"/>
  <c r="P8" i="39"/>
  <c r="P14" i="39"/>
  <c r="BA149" i="86" l="1"/>
  <c r="AJ149" i="86"/>
  <c r="S149" i="86"/>
  <c r="AJ180" i="86"/>
  <c r="S180" i="86"/>
  <c r="BA180" i="86"/>
  <c r="BA150" i="86"/>
  <c r="AJ150" i="86"/>
  <c r="S150" i="86"/>
  <c r="AJ181" i="86"/>
  <c r="S181" i="86"/>
  <c r="BA181" i="86"/>
  <c r="AJ81" i="86"/>
  <c r="BA81" i="86"/>
  <c r="S81" i="86"/>
  <c r="AJ111" i="86"/>
  <c r="BA111" i="86"/>
  <c r="S111" i="86"/>
  <c r="AJ80" i="86"/>
  <c r="BA80" i="86"/>
  <c r="S80" i="86"/>
  <c r="AJ112" i="86"/>
  <c r="S112" i="86"/>
  <c r="BA112" i="86"/>
  <c r="BG4" i="86"/>
  <c r="AP5" i="86"/>
  <c r="Y4" i="86"/>
  <c r="BG5" i="86"/>
  <c r="BA12" i="86"/>
  <c r="S12" i="86"/>
  <c r="AJ12" i="86"/>
  <c r="AP3" i="86"/>
  <c r="BG3" i="86"/>
  <c r="S11" i="86"/>
  <c r="BA11" i="86"/>
  <c r="AJ11" i="86"/>
  <c r="C22" i="39"/>
  <c r="C19" i="39"/>
  <c r="C20" i="39"/>
  <c r="C21" i="39"/>
  <c r="C18" i="39"/>
  <c r="C10" i="39"/>
  <c r="C11" i="39"/>
  <c r="C12" i="39"/>
  <c r="C9" i="39"/>
  <c r="F32" i="89"/>
  <c r="Q29" i="89" s="1"/>
  <c r="BA6" i="86"/>
  <c r="BA5" i="86"/>
  <c r="BA4" i="86"/>
  <c r="BA3" i="86"/>
  <c r="AJ5" i="86"/>
  <c r="AJ4" i="86"/>
  <c r="AJ3" i="86"/>
  <c r="S5" i="86"/>
  <c r="S4" i="86"/>
  <c r="S3" i="86"/>
  <c r="B5" i="86"/>
  <c r="D12" i="86"/>
  <c r="G12" i="86"/>
  <c r="F11" i="39"/>
  <c r="E74" i="39"/>
  <c r="H74" i="39"/>
  <c r="J47" i="89"/>
  <c r="E41" i="89"/>
  <c r="H41" i="89"/>
  <c r="BF6" i="86"/>
  <c r="BF5" i="86"/>
  <c r="BF4" i="86"/>
  <c r="BF3" i="86"/>
  <c r="AO6" i="86"/>
  <c r="AO5" i="86"/>
  <c r="AO4" i="86"/>
  <c r="AO3" i="86"/>
  <c r="X6" i="86"/>
  <c r="X5" i="86"/>
  <c r="X4" i="86"/>
  <c r="X3" i="86"/>
  <c r="B3" i="86"/>
  <c r="B4" i="86"/>
  <c r="G11" i="86"/>
  <c r="J11" i="86"/>
  <c r="M11" i="86"/>
  <c r="P11" i="86"/>
  <c r="U11" i="86"/>
  <c r="X11" i="86"/>
  <c r="AA11" i="86"/>
  <c r="AD11" i="86"/>
  <c r="AG11" i="86"/>
  <c r="AL11" i="86"/>
  <c r="AO11" i="86"/>
  <c r="AR11" i="86"/>
  <c r="AU11" i="86"/>
  <c r="AX11" i="86"/>
  <c r="BC11" i="86"/>
  <c r="BF11" i="86"/>
  <c r="BI11" i="86"/>
  <c r="BL11" i="86"/>
  <c r="BO11" i="86"/>
  <c r="J12" i="86"/>
  <c r="M12" i="86"/>
  <c r="P12" i="86"/>
  <c r="U12" i="86"/>
  <c r="X12" i="86"/>
  <c r="AA12" i="86"/>
  <c r="AD12" i="86"/>
  <c r="AG12" i="86"/>
  <c r="AL12" i="86"/>
  <c r="AO12" i="86"/>
  <c r="AR12" i="86"/>
  <c r="AU12" i="86"/>
  <c r="AX12" i="86"/>
  <c r="BC12" i="86"/>
  <c r="BF12" i="86"/>
  <c r="BI12" i="86"/>
  <c r="BL12" i="86"/>
  <c r="BO12" i="86"/>
  <c r="A69" i="86"/>
  <c r="D49" i="89"/>
  <c r="J49" i="89"/>
  <c r="F13" i="39"/>
  <c r="L18" i="39"/>
  <c r="P18" i="39"/>
  <c r="F19" i="39"/>
  <c r="L19" i="39"/>
  <c r="P19" i="39"/>
  <c r="F20" i="39"/>
  <c r="L20" i="39"/>
  <c r="P20" i="39"/>
  <c r="L21" i="39"/>
  <c r="P21" i="39"/>
  <c r="F22" i="39"/>
  <c r="L22" i="39"/>
  <c r="P22" i="39"/>
  <c r="C71" i="39"/>
  <c r="I71" i="39"/>
  <c r="C72" i="39"/>
  <c r="I72" i="39"/>
  <c r="N41" i="89" l="1"/>
  <c r="S6" i="86"/>
  <c r="F12" i="39"/>
  <c r="B6" i="86"/>
  <c r="AJ6" i="86"/>
  <c r="N32" i="89"/>
  <c r="D47" i="89"/>
  <c r="G41" i="89"/>
  <c r="F25" i="89"/>
  <c r="D32" i="89"/>
  <c r="D41" i="89"/>
  <c r="N42" i="38" a="1"/>
  <c r="N42" i="38" l="1"/>
  <c r="A1" i="8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<sst xmlns="http://schemas.openxmlformats.org/spreadsheetml/2006/main" count="1041" uniqueCount="349">
  <si>
    <t>Deutsch</t>
  </si>
  <si>
    <t>francais</t>
  </si>
  <si>
    <t>italiano</t>
  </si>
  <si>
    <t>EvalOnIce</t>
  </si>
  <si>
    <t>Sprache</t>
  </si>
  <si>
    <t>Langue</t>
  </si>
  <si>
    <t>SIS Bronze Stiltest</t>
  </si>
  <si>
    <t>Testname</t>
  </si>
  <si>
    <t>Nom du test</t>
  </si>
  <si>
    <t>Austragungsort</t>
  </si>
  <si>
    <t>Lieu du test</t>
  </si>
  <si>
    <t>Datum</t>
  </si>
  <si>
    <t>Date</t>
  </si>
  <si>
    <t>Testklasse</t>
  </si>
  <si>
    <t>Niveau du test</t>
  </si>
  <si>
    <t>Bemerkung</t>
  </si>
  <si>
    <t>Remarque</t>
  </si>
  <si>
    <t>Schiedsrichter / Spezialisten (Name Vorname)</t>
  </si>
  <si>
    <t>Juges / Spécialistes (Nom Prénom)</t>
  </si>
  <si>
    <t>Klub</t>
  </si>
  <si>
    <t>Club</t>
  </si>
  <si>
    <t>Klasse</t>
  </si>
  <si>
    <t>Classe</t>
  </si>
  <si>
    <t>SchiedsrichterIn</t>
  </si>
  <si>
    <t>Juge arbitre</t>
  </si>
  <si>
    <t>PreisrichterIn 2</t>
  </si>
  <si>
    <t>Juge 2</t>
  </si>
  <si>
    <t>PreisrichterIn 3</t>
  </si>
  <si>
    <t>Juge 3</t>
  </si>
  <si>
    <t>Verantwortliche/r der Tests</t>
  </si>
  <si>
    <t>Responsable des tests</t>
  </si>
  <si>
    <t>Technical Specialist</t>
  </si>
  <si>
    <t>Tech. Spec. Assistant</t>
  </si>
  <si>
    <t>RechnungsführerIn</t>
  </si>
  <si>
    <t>Calculateur</t>
  </si>
  <si>
    <t>Klubpräsident</t>
  </si>
  <si>
    <t>Président(e) du club</t>
  </si>
  <si>
    <t>Name</t>
  </si>
  <si>
    <t>Nom</t>
  </si>
  <si>
    <t>Lizenz-nummer</t>
  </si>
  <si>
    <t xml:space="preserve">nombre-licences </t>
  </si>
  <si>
    <t>TeilnehmerIn 1</t>
  </si>
  <si>
    <t>Participant(e) 1</t>
  </si>
  <si>
    <t>TeilnehmerIn 2</t>
  </si>
  <si>
    <t>Participant(e) 2</t>
  </si>
  <si>
    <t>TeilnehmerIn 3</t>
  </si>
  <si>
    <t>Participant(e) 3</t>
  </si>
  <si>
    <t>TeilnehmerIn 4</t>
  </si>
  <si>
    <t>Participant(e) 4</t>
  </si>
  <si>
    <t>TeilnehmerIn 5</t>
  </si>
  <si>
    <t>Participant(e) 5</t>
  </si>
  <si>
    <t>TeilnehmerIn 6</t>
  </si>
  <si>
    <t>Participant(e) 6</t>
  </si>
  <si>
    <t>TeilnehmerIn 7</t>
  </si>
  <si>
    <t>Participant(e) 7</t>
  </si>
  <si>
    <t>TeilnehmerIn 8</t>
  </si>
  <si>
    <t>Participant(e) 8</t>
  </si>
  <si>
    <t>TeilnehmerIn 9</t>
  </si>
  <si>
    <t>Participant(e) 9</t>
  </si>
  <si>
    <t>TeilnehmerIn 10</t>
  </si>
  <si>
    <t>Participant(e) 10</t>
  </si>
  <si>
    <t>TeilnehmerIn 11</t>
  </si>
  <si>
    <t>Participant(e) 11</t>
  </si>
  <si>
    <t>TeilnehmerIn 12</t>
  </si>
  <si>
    <t>Participant(e) 12</t>
  </si>
  <si>
    <t>TeilnehmerIn 13</t>
  </si>
  <si>
    <t>Participant(e) 13</t>
  </si>
  <si>
    <t>TeilnehmerIn 14</t>
  </si>
  <si>
    <t>Participant(e) 14</t>
  </si>
  <si>
    <t>TeilnehmerIn 15</t>
  </si>
  <si>
    <t>Participant(e) 15</t>
  </si>
  <si>
    <t>TeilnehmerIn 16</t>
  </si>
  <si>
    <t>Participant(e) 16</t>
  </si>
  <si>
    <t>TeilnehmerIn 17</t>
  </si>
  <si>
    <t>Participant(e) 17</t>
  </si>
  <si>
    <t>TeilnehmerIn 18</t>
  </si>
  <si>
    <t>Participant(e) 18</t>
  </si>
  <si>
    <t>TeilnehmerIn 19</t>
  </si>
  <si>
    <t>Participant(e) 19</t>
  </si>
  <si>
    <t>TeilnehmerIn 20</t>
  </si>
  <si>
    <t>Participant(e) 20</t>
  </si>
  <si>
    <r>
      <t>Empfänger</t>
    </r>
    <r>
      <rPr>
        <sz val="12"/>
        <rFont val="Arial"/>
        <family val="2"/>
      </rPr>
      <t xml:space="preserve">
Swiss Ice Skating
Haus des Sports
Talgut-Zentrum 27
3063 Ittigen b. Bern
</t>
    </r>
  </si>
  <si>
    <t>Testbericht</t>
  </si>
  <si>
    <t>Rapport du test</t>
  </si>
  <si>
    <t>1.   Allgemeine Testangaben</t>
  </si>
  <si>
    <t>1.  Informations générales</t>
  </si>
  <si>
    <t>Der vorliegende Bericht fasst die Ergebnisse des nachfolgend aufgeführten Tests zuhanden des Verbands zusammen.</t>
  </si>
  <si>
    <t>Ce rapport résume les résultats du test suivant pour l'association.</t>
  </si>
  <si>
    <t>Bemerkung zum Test</t>
  </si>
  <si>
    <t>Die vom SIS verabschiedeten Reglemente sind anzuwenden.</t>
  </si>
  <si>
    <t xml:space="preserve">Les règlements des tests émis par SIS sont à appliquer. </t>
  </si>
  <si>
    <t>2.   Schiedsrichter und Spezialisten</t>
  </si>
  <si>
    <t>2.   Juges et spécialistes</t>
  </si>
  <si>
    <t>Funktion</t>
  </si>
  <si>
    <t>Fonction</t>
  </si>
  <si>
    <t>3.   Elementgruppen und benötigte Punkte</t>
  </si>
  <si>
    <t>3.   Eléments prescrits et points requis</t>
  </si>
  <si>
    <t>Die unter Ziffer 4 aufgeführten Teilnehmenden wurden mit dem Tool "EVAL OnIce" systematisch und einheitlich bewertet. Für die Beurteilung standen den Teilnehmenden die folgenden Elementgruppen zur Auswahl:</t>
  </si>
  <si>
    <t>Les participants mentionnés au point 4 ont été évalués avec le Tool "EVAL OnIce" de façon systématique et uniforme. Les participants ont dû présenter les éléments suivants:</t>
  </si>
  <si>
    <t>3.   Teilnehmende und erreichte Punkte</t>
  </si>
  <si>
    <t>3.   Participants et points obtenus</t>
  </si>
  <si>
    <t>Nr</t>
  </si>
  <si>
    <t>N°</t>
  </si>
  <si>
    <t>SR</t>
  </si>
  <si>
    <t>JA</t>
  </si>
  <si>
    <t>PR2</t>
  </si>
  <si>
    <t>J2</t>
  </si>
  <si>
    <t>PR3</t>
  </si>
  <si>
    <t>J3</t>
  </si>
  <si>
    <t>Total</t>
  </si>
  <si>
    <t>Elemente bestanden</t>
  </si>
  <si>
    <t>Eléments réussis?</t>
  </si>
  <si>
    <t>nombre-licences</t>
  </si>
  <si>
    <t>Ja</t>
  </si>
  <si>
    <t>oui</t>
  </si>
  <si>
    <t>Nein</t>
  </si>
  <si>
    <t>non</t>
  </si>
  <si>
    <t>1. Teil</t>
  </si>
  <si>
    <t>1. par</t>
  </si>
  <si>
    <t>2. Teil</t>
  </si>
  <si>
    <t>2. par</t>
  </si>
  <si>
    <t>&gt;</t>
  </si>
  <si>
    <t>4.   Bemerkung</t>
  </si>
  <si>
    <t>4.   Remarque</t>
  </si>
  <si>
    <t>Der Bericht ist in elektronischer Form einzusenden an Sekretariat (teste@swissiceskating.ch).</t>
  </si>
  <si>
    <t>Le rapport est à envoyer électroniquement à la responsable de l’administration des tests, Secrétariat (teste@swissiceskating.ch).</t>
  </si>
  <si>
    <t>5.  Einschätzung des Preisrichterkandidaten</t>
  </si>
  <si>
    <t>5.  Evaluation du candidat juge / de la candidate juge</t>
  </si>
  <si>
    <t xml:space="preserve">Vorname </t>
  </si>
  <si>
    <t>Prénom</t>
  </si>
  <si>
    <t>Qualität der Wertung:</t>
  </si>
  <si>
    <t>Qualité du jugement:</t>
  </si>
  <si>
    <t>Kenntnisse der Reglemente:</t>
  </si>
  <si>
    <t>Connaissance des règlements:</t>
  </si>
  <si>
    <t>Umgang mit den Preisrichtern:</t>
  </si>
  <si>
    <t>Contact avec les autres juges:</t>
  </si>
  <si>
    <t xml:space="preserve">6.   Unterschriften </t>
  </si>
  <si>
    <t>6.   Signatures</t>
  </si>
  <si>
    <t>Ort, Datum</t>
  </si>
  <si>
    <t>Lieu, date</t>
  </si>
  <si>
    <t>DEUTSCH</t>
  </si>
  <si>
    <t>Visible</t>
  </si>
  <si>
    <t>DER SCHWEIZERISCHE EISLAUFVERBAND</t>
  </si>
  <si>
    <t>L'UNION SUISSE DE PATINAGE</t>
  </si>
  <si>
    <t>UNIONE SVIZZERA DEL PATTINAGGIO</t>
  </si>
  <si>
    <t>Teilnehmer</t>
  </si>
  <si>
    <t xml:space="preserve">bestätigt durch dieses </t>
  </si>
  <si>
    <t>certifie par le présent</t>
  </si>
  <si>
    <t xml:space="preserve">certifio con questo </t>
  </si>
  <si>
    <t>Laschenname Teilnehmer</t>
  </si>
  <si>
    <t>DIPLOM</t>
  </si>
  <si>
    <t>DIPLÔME</t>
  </si>
  <si>
    <t>DIPLOMA</t>
  </si>
  <si>
    <t>dass</t>
  </si>
  <si>
    <t>que</t>
  </si>
  <si>
    <t>che</t>
  </si>
  <si>
    <t>Mitglied vom</t>
  </si>
  <si>
    <t>membre du</t>
  </si>
  <si>
    <t>membro del</t>
  </si>
  <si>
    <t>den</t>
  </si>
  <si>
    <t>a passé le</t>
  </si>
  <si>
    <t>ha superato il</t>
  </si>
  <si>
    <t>am</t>
  </si>
  <si>
    <t>le</t>
  </si>
  <si>
    <t>il</t>
  </si>
  <si>
    <t>in</t>
  </si>
  <si>
    <t>à</t>
  </si>
  <si>
    <t>a</t>
  </si>
  <si>
    <t>Textbaustein</t>
  </si>
  <si>
    <t>bestanden hat.</t>
  </si>
  <si>
    <t xml:space="preserve">  </t>
  </si>
  <si>
    <t>Gültigkeit</t>
  </si>
  <si>
    <t>Verantwortliche(r) der Tests</t>
  </si>
  <si>
    <t>Responsabile dei test</t>
  </si>
  <si>
    <t>Tech. Spec. Assistent</t>
  </si>
  <si>
    <t>franz</t>
  </si>
  <si>
    <t>ital</t>
  </si>
  <si>
    <t>deutsch</t>
  </si>
  <si>
    <t>Total Punkte Kür</t>
  </si>
  <si>
    <t>Total de points programme libre</t>
  </si>
  <si>
    <t>Punti totale del libero</t>
  </si>
  <si>
    <t>Total Punkte Elemente</t>
  </si>
  <si>
    <t>Total de points pour les éléments</t>
  </si>
  <si>
    <t>Punti totali degli elementi</t>
  </si>
  <si>
    <t>Juge-arbitre</t>
  </si>
  <si>
    <t>Giudice-arbitro</t>
  </si>
  <si>
    <t>Bestätigung</t>
  </si>
  <si>
    <t>Confirmation</t>
  </si>
  <si>
    <t>Conferma</t>
  </si>
  <si>
    <t>membre du CP</t>
  </si>
  <si>
    <t>Dieses Schreiben ist während 13 Monaten ab bestandenem ersten Teil des entsprechenden Tests gültig. Es muss an jeden folgenden Test mitgenommen und zusammen mit der Lizenzkarte dem Schiedsrichter vorgelegt werden. Nach 13 Monaten endet die Gültigkeit.</t>
  </si>
  <si>
    <t>Ce document est valable pendant 13 mois à partir de la date de réussite de la première partie du test correspondant. Il doit être présenté au juge-arbitre avec la licence à chaque test qui suit. La validité est de 13 mois.</t>
  </si>
  <si>
    <t xml:space="preserve">La presente lettera ha una validità di 13 mesi dal superamento della prima parte della relativa prova. Deve essere portato ad ogni prova successiva e presentato all'arbitro insieme al cartellino della licenza. La validità scade dopo 13 mesi. </t>
  </si>
  <si>
    <t>n1</t>
  </si>
  <si>
    <t>1. Teil bestanden</t>
  </si>
  <si>
    <t>1ère partie reçue</t>
  </si>
  <si>
    <t xml:space="preserve">1a parte superata </t>
  </si>
  <si>
    <t xml:space="preserve"> </t>
  </si>
  <si>
    <t>Bemerkungen</t>
  </si>
  <si>
    <t>Wert</t>
  </si>
  <si>
    <t>TN1</t>
  </si>
  <si>
    <t>TN2</t>
  </si>
  <si>
    <t>TN3</t>
  </si>
  <si>
    <t>TN4</t>
  </si>
  <si>
    <t>TN5</t>
  </si>
  <si>
    <t>TN6</t>
  </si>
  <si>
    <t>TN7</t>
  </si>
  <si>
    <t>TN8</t>
  </si>
  <si>
    <t>TN9</t>
  </si>
  <si>
    <t>TN10</t>
  </si>
  <si>
    <t>TN11</t>
  </si>
  <si>
    <t>TN12</t>
  </si>
  <si>
    <t>TN13</t>
  </si>
  <si>
    <t>TN14</t>
  </si>
  <si>
    <t>TN15</t>
  </si>
  <si>
    <t>TN16</t>
  </si>
  <si>
    <t>TN17</t>
  </si>
  <si>
    <t>TN18</t>
  </si>
  <si>
    <t>TN19</t>
  </si>
  <si>
    <t>TN20</t>
  </si>
  <si>
    <t>Remarques</t>
  </si>
  <si>
    <t>Valeur</t>
  </si>
  <si>
    <t>P1</t>
  </si>
  <si>
    <t>P2</t>
  </si>
  <si>
    <t>P3</t>
  </si>
  <si>
    <t>P4</t>
  </si>
  <si>
    <t>P5</t>
  </si>
  <si>
    <t>P6</t>
  </si>
  <si>
    <t>P7</t>
  </si>
  <si>
    <t>P8</t>
  </si>
  <si>
    <t>P9</t>
  </si>
  <si>
    <t>P10</t>
  </si>
  <si>
    <t>P11</t>
  </si>
  <si>
    <t>P12</t>
  </si>
  <si>
    <t>P13</t>
  </si>
  <si>
    <t>P14</t>
  </si>
  <si>
    <t>P15</t>
  </si>
  <si>
    <t>P16</t>
  </si>
  <si>
    <t>P17</t>
  </si>
  <si>
    <t>P18</t>
  </si>
  <si>
    <t>P19</t>
  </si>
  <si>
    <t>P20</t>
  </si>
  <si>
    <t>Base</t>
  </si>
  <si>
    <t>GOE</t>
  </si>
  <si>
    <t>1.</t>
  </si>
  <si>
    <t>(2.)</t>
  </si>
  <si>
    <t xml:space="preserve">mind 
1 Sprung  
1 Schritt  </t>
  </si>
  <si>
    <t>min
1 saut, 1 pas,
1 pirouette</t>
  </si>
  <si>
    <t>SIS Inter-Bronze Stiltest</t>
  </si>
  <si>
    <t>Stil Interbronze</t>
  </si>
  <si>
    <t xml:space="preserve">SIS test de style Inter-Bronze </t>
  </si>
  <si>
    <t>SIS test di stile Inter-Bronzo</t>
  </si>
  <si>
    <t>Elemente</t>
  </si>
  <si>
    <t>Eléments</t>
  </si>
  <si>
    <t>v Übersetzen</t>
  </si>
  <si>
    <t>croisés av</t>
  </si>
  <si>
    <t>r Übersetzen</t>
  </si>
  <si>
    <t>croisés arr</t>
  </si>
  <si>
    <t>va Dr-re Dr</t>
  </si>
  <si>
    <t>tr av ext-tr arr int</t>
  </si>
  <si>
    <t>ve Dr-ra Dr</t>
  </si>
  <si>
    <t>tr av int-tr arr ext</t>
  </si>
  <si>
    <t>A: Schl+oMo / B: 2 versch. Schl+Mo</t>
  </si>
  <si>
    <t>A: Cc+oMo / B: 2 Cc+Mo diff.</t>
  </si>
  <si>
    <t>Total pro Preisrichter</t>
  </si>
  <si>
    <t xml:space="preserve">Total par juge </t>
  </si>
  <si>
    <t xml:space="preserve">Zum Bestehen des 1. Teils braucht der Läufer die Punktzahl der BASE bei der Mehrheit der Preisrichter und bei der Mehrheit der Elemente. </t>
  </si>
  <si>
    <t xml:space="preserve">Pour réussir le test, le patineur doit obtenir, chez la majorité des juges, le nombre de points de la BASE pour la majorité des éléments. </t>
  </si>
  <si>
    <t>1. Teil bestanden:  ja  nein</t>
  </si>
  <si>
    <r>
      <t>1</t>
    </r>
    <r>
      <rPr>
        <vertAlign val="superscript"/>
        <sz val="10"/>
        <color rgb="FF000000"/>
        <rFont val="Arial"/>
        <family val="2"/>
      </rPr>
      <t>ère</t>
    </r>
    <r>
      <rPr>
        <sz val="10"/>
        <color rgb="FF000000"/>
        <rFont val="Arial"/>
        <family val="2"/>
      </rPr>
      <t xml:space="preserve"> partie réussie :  oui  non</t>
    </r>
  </si>
  <si>
    <t>Vorgeschriebene Schritte (TES)</t>
  </si>
  <si>
    <t>pas prescrits (TES)</t>
  </si>
  <si>
    <t>½ Kreisschritt</t>
  </si>
  <si>
    <t>½ pas circulaire</t>
  </si>
  <si>
    <t>½ Längsschritt</t>
  </si>
  <si>
    <t>½ pas longitudinal</t>
  </si>
  <si>
    <t>Program Components (PCS)</t>
  </si>
  <si>
    <t>Presentation</t>
  </si>
  <si>
    <t>Skating Skills</t>
  </si>
  <si>
    <t>Skating Skillls</t>
  </si>
  <si>
    <t>Sturz</t>
  </si>
  <si>
    <t>chute</t>
  </si>
  <si>
    <r>
      <t>2 Komponenten</t>
    </r>
    <r>
      <rPr>
        <sz val="10"/>
        <color rgb="FF000000"/>
        <rFont val="Arial"/>
        <family val="2"/>
      </rPr>
      <t>:</t>
    </r>
  </si>
  <si>
    <t>2 Components</t>
  </si>
  <si>
    <t>Die Punktzahl beträgt für den (0,6 pro Schritt) TES: 1,8 Punkte</t>
  </si>
  <si>
    <t>Nombre de points pour (un demi pas 0,6) TES: 1,8 points</t>
  </si>
  <si>
    <t>und einen Durchschnitt von 1,5 x 2 PCS: 3,0 Punkte</t>
  </si>
  <si>
    <t>et une moyenne de 1,5 x 2 pour le PCS: 3,0 points</t>
  </si>
  <si>
    <t>Sturz: (-0,25 pro Sturz)</t>
  </si>
  <si>
    <t>chute: (-0.25 par chute)</t>
  </si>
  <si>
    <t>zum Bestehen braucht der Läufer: TSS 4,8 Punkte</t>
  </si>
  <si>
    <t>nombre de points total requis pour réussir: TSS 4.8 points</t>
  </si>
  <si>
    <t>Unterschrift des Preisrichters __________________________________</t>
  </si>
  <si>
    <t>Signature du juge ___________________________</t>
  </si>
  <si>
    <t>Stil Bronze</t>
  </si>
  <si>
    <t xml:space="preserve">SIS test de style Bronze </t>
  </si>
  <si>
    <t>SIS test di stile Bronzo</t>
  </si>
  <si>
    <t>va Doppeldr</t>
  </si>
  <si>
    <t>double tr av ext</t>
  </si>
  <si>
    <t>ve Doppeldr</t>
  </si>
  <si>
    <t>double tr av int</t>
  </si>
  <si>
    <t>ve/ra GDr</t>
  </si>
  <si>
    <t>brackets av int/arr ext</t>
  </si>
  <si>
    <t>A: Dr-DDr-r Schl / B: 2versch.rDr+2versch.rSchl</t>
  </si>
  <si>
    <t>A: tr-double tr-Cc / B: 2 tr arr. diff. + 2 Cc arr diff.</t>
  </si>
  <si>
    <t>1. Teil bestanden:  ja  nein  Unterschrift des Preisrichters</t>
  </si>
  <si>
    <r>
      <t>1</t>
    </r>
    <r>
      <rPr>
        <vertAlign val="superscript"/>
        <sz val="10"/>
        <color rgb="FF000000"/>
        <rFont val="Arial"/>
        <family val="2"/>
      </rPr>
      <t>ère</t>
    </r>
    <r>
      <rPr>
        <sz val="10"/>
        <color rgb="FF000000"/>
        <rFont val="Arial"/>
        <family val="2"/>
      </rPr>
      <t xml:space="preserve"> partie réussie :  oui  non  Signature du juge</t>
    </r>
  </si>
  <si>
    <t>Die Punktzahl beträgt für den (1,2 pro Schritt) TES: 2,4 Punkte</t>
  </si>
  <si>
    <t>Nombre de points pour (un demi pas 1,2) TES: 2,4 points</t>
  </si>
  <si>
    <t>und einen Durchschnitt von 2,0 x 2 PCS: 4,0 Punkte</t>
  </si>
  <si>
    <t>et une moyenne de 2,0 x 2 pour le PCS: 6,0 points</t>
  </si>
  <si>
    <t>zum Bestehen braucht der Läufer: TSS 6,4 Punkte</t>
  </si>
  <si>
    <t>nombre de points total requis pour réussir: TSS 6,4 points</t>
  </si>
  <si>
    <t>SIS Inter-Silber Stiltest</t>
  </si>
  <si>
    <t>Stil Intersilber</t>
  </si>
  <si>
    <t>SIS test de style Inter-Argent</t>
  </si>
  <si>
    <t>SIS test di stile Inter-Argento</t>
  </si>
  <si>
    <t>Dr mit rae Schl</t>
  </si>
  <si>
    <t>tr avec Cc arr ext/int</t>
  </si>
  <si>
    <t xml:space="preserve">va-re GDr </t>
  </si>
  <si>
    <t>av ext arr int B</t>
  </si>
  <si>
    <t>Choctaws</t>
  </si>
  <si>
    <t>Choreographie Sequenz (ChSqB)</t>
  </si>
  <si>
    <t>Séquence de pas choréographique (ChSqB)</t>
  </si>
  <si>
    <t>Choreographie Sequenz (ChSqE)</t>
  </si>
  <si>
    <t>Séquence de pas choréogr. ChCqE)</t>
  </si>
  <si>
    <t>Composition</t>
  </si>
  <si>
    <r>
      <t>3 Komponenten</t>
    </r>
    <r>
      <rPr>
        <sz val="10"/>
        <color rgb="FF000000"/>
        <rFont val="Arial"/>
        <family val="2"/>
      </rPr>
      <t>:</t>
    </r>
  </si>
  <si>
    <t>3 Components</t>
  </si>
  <si>
    <t>Die Punktzahl beträgt für den (1,8 pro Schritt) TES: 3,6 Punkte</t>
  </si>
  <si>
    <t>Nombre de points pour (un demi pas 1,8) TES: 3,8 points</t>
  </si>
  <si>
    <t>und einen Durchschnitt von 2,5 x 3 PCS: 7,5 Punkte</t>
  </si>
  <si>
    <t>et une moyenne de 2,5 x 3 pour le PCS: 7,5 points</t>
  </si>
  <si>
    <t>zum Bestehen braucht der Läufer: TSS 11,1 Punkte</t>
  </si>
  <si>
    <t>nombre de points total requis pour réussir: TSS 11,1 points</t>
  </si>
  <si>
    <t>Version</t>
  </si>
  <si>
    <t>Änderungen</t>
  </si>
  <si>
    <t>Version 1.0; 20.06.2021</t>
  </si>
  <si>
    <t>Neuaustellung</t>
  </si>
  <si>
    <t>Version 1.1; 23.02.2022</t>
  </si>
  <si>
    <t>Diplom und Bestätigung auf italienisch</t>
  </si>
  <si>
    <t>Version 1.2; 23.02.2022</t>
  </si>
  <si>
    <t>Komponenten gem. neuer Regelung</t>
  </si>
  <si>
    <t>½ ChSqC</t>
  </si>
  <si>
    <t>ChSqD</t>
  </si>
  <si>
    <t>Séquence de pas. Le dessin est libre, mais doit cependent être bien visible</t>
  </si>
  <si>
    <t>Schritt-Sequenz. Das Spurenbild ist frei, muss jedoch klar ersichtlich sein</t>
  </si>
  <si>
    <t>Version 1.3;
06.01.2024</t>
  </si>
  <si>
    <t>Textanpassungen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</si>
</sst>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dd/mm/yyyy;@"/>
  </numFmts>
  <fonts count="55">
    <font>
      <sz val="10"/>
      <name val="Arial"/>
    </font>
    <font>
      <sz val="11"/>
      <name val="Arial"/>
      <family val="2"/>
    </font>
    <font>
      <sz val="12"/>
      <name val="Arial"/>
      <family val="2"/>
    </font>
    <font>
      <b/>
      <sz val="12"/>
      <name val="Arial"/>
      <family val="2"/>
    </font>
    <font>
      <sz val="11"/>
      <color indexed="62"/>
      <name val="Arial"/>
      <family val="2"/>
    </font>
    <font>
      <i/>
      <sz val="11"/>
      <color indexed="62"/>
      <name val="Arial"/>
      <family val="2"/>
    </font>
    <font>
      <b/>
      <i/>
      <sz val="18"/>
      <color indexed="62"/>
      <name val="Arial Narrow"/>
      <family val="2"/>
    </font>
    <font>
      <sz val="10"/>
      <color indexed="62"/>
      <name val="Arial"/>
      <family val="2"/>
    </font>
    <font>
      <b/>
      <sz val="11"/>
      <color indexed="62"/>
      <name val="Arial"/>
      <family val="2"/>
    </font>
    <font>
      <sz val="10"/>
      <color indexed="62"/>
      <name val="Arial"/>
      <family val="2"/>
    </font>
    <font>
      <i/>
      <sz val="10"/>
      <color indexed="62"/>
      <name val="Arial"/>
      <family val="2"/>
    </font>
    <font>
      <b/>
      <sz val="10"/>
      <color indexed="62"/>
      <name val="Arial"/>
      <family val="2"/>
    </font>
    <font>
      <b/>
      <sz val="16"/>
      <color indexed="62"/>
      <name val="Arial"/>
      <family val="2"/>
    </font>
    <font>
      <b/>
      <sz val="12"/>
      <color indexed="62"/>
      <name val="Arial"/>
      <family val="2"/>
    </font>
    <font>
      <sz val="12"/>
      <color indexed="62"/>
      <name val="Arial"/>
      <family val="2"/>
    </font>
    <font>
      <b/>
      <sz val="14"/>
      <name val="Arial"/>
      <family val="2"/>
    </font>
    <font>
      <b/>
      <i/>
      <sz val="15"/>
      <color indexed="62"/>
      <name val="Arial Narrow"/>
      <family val="2"/>
    </font>
    <font>
      <b/>
      <sz val="20"/>
      <color indexed="62"/>
      <name val="Arial"/>
      <family val="2"/>
    </font>
    <font>
      <b/>
      <sz val="14"/>
      <color indexed="62"/>
      <name val="Arial"/>
      <family val="2"/>
    </font>
    <font>
      <i/>
      <sz val="8"/>
      <color indexed="62"/>
      <name val="Arial"/>
      <family val="2"/>
    </font>
    <font>
      <b/>
      <i/>
      <sz val="12"/>
      <color indexed="62"/>
      <name val="Arial Narrow"/>
      <family val="2"/>
    </font>
    <font>
      <b/>
      <i/>
      <sz val="12"/>
      <color indexed="62"/>
      <name val="Arial"/>
      <family val="2"/>
    </font>
    <font>
      <i/>
      <sz val="12"/>
      <name val="Arial"/>
      <family val="2"/>
    </font>
    <font>
      <sz val="8"/>
      <color indexed="62"/>
      <name val="Arial"/>
      <family val="2"/>
    </font>
    <font>
      <sz val="72"/>
      <color indexed="62"/>
      <name val="Arial"/>
      <family val="2"/>
    </font>
    <font>
      <u/>
      <sz val="12"/>
      <color indexed="62"/>
      <name val="Arial"/>
      <family val="2"/>
    </font>
    <font>
      <sz val="14"/>
      <color indexed="62"/>
      <name val="Arial"/>
      <family val="2"/>
    </font>
    <font>
      <b/>
      <sz val="30"/>
      <name val="Gill Sans extrabold"/>
    </font>
    <font>
      <b/>
      <sz val="18"/>
      <name val="Verdana"/>
      <family val="2"/>
    </font>
    <font>
      <sz val="16"/>
      <color indexed="8"/>
      <name val="GillSans ExtraBold"/>
    </font>
    <font>
      <b/>
      <sz val="30"/>
      <name val="Lucida Calligraphy"/>
      <family val="4"/>
    </font>
    <font>
      <sz val="14"/>
      <name val="Verdana"/>
      <family val="2"/>
    </font>
    <font>
      <b/>
      <i/>
      <sz val="18"/>
      <name val="Lucida Sans"/>
      <family val="2"/>
    </font>
    <font>
      <b/>
      <i/>
      <sz val="36"/>
      <name val="Lucida Sans"/>
      <family val="2"/>
    </font>
    <font>
      <sz val="10"/>
      <color indexed="8"/>
      <name val="Gill Sans ExtraBold"/>
    </font>
    <font>
      <sz val="11"/>
      <color indexed="9"/>
      <name val="Arial"/>
      <family val="2"/>
    </font>
    <font>
      <i/>
      <u/>
      <sz val="12"/>
      <name val="Arial"/>
      <family val="2"/>
    </font>
    <font>
      <b/>
      <sz val="24"/>
      <color indexed="62"/>
      <name val="Arial"/>
      <family val="2"/>
    </font>
    <font>
      <sz val="8"/>
      <name val="Arial"/>
      <family val="2"/>
    </font>
    <font>
      <b/>
      <i/>
      <sz val="12"/>
      <name val="Arial Narrow"/>
      <family val="2"/>
    </font>
    <font>
      <sz val="10"/>
      <name val="Arial"/>
      <family val="2"/>
    </font>
    <font>
      <b/>
      <sz val="11"/>
      <name val="Arial"/>
      <family val="2"/>
    </font>
    <font>
      <i/>
      <sz val="10"/>
      <name val="Arial"/>
      <family val="2"/>
    </font>
    <font>
      <sz val="8"/>
      <name val="Arial"/>
      <family val="2"/>
    </font>
    <font>
      <sz val="12"/>
      <color theme="0"/>
      <name val="Arial"/>
      <family val="2"/>
    </font>
    <font>
      <b/>
      <sz val="10"/>
      <name val="Arial"/>
      <family val="2"/>
    </font>
    <font>
      <sz val="20"/>
      <name val="Arial"/>
      <family val="2"/>
    </font>
    <font>
      <sz val="10"/>
      <color rgb="FF000000"/>
      <name val="Arial"/>
      <family val="2"/>
    </font>
    <font>
      <b/>
      <sz val="10"/>
      <color rgb="FF000000"/>
      <name val="Arial"/>
      <family val="2"/>
    </font>
    <font>
      <vertAlign val="superscript"/>
      <sz val="10"/>
      <color rgb="FF000000"/>
      <name val="Arial"/>
      <family val="2"/>
    </font>
    <font>
      <u/>
      <sz val="10"/>
      <color rgb="FF000000"/>
      <name val="Arial"/>
      <family val="2"/>
    </font>
    <font>
      <sz val="9"/>
      <color rgb="FF000000"/>
      <name val="Arial"/>
      <family val="2"/>
    </font>
    <font>
      <sz val="30"/>
      <name val="Arial"/>
      <family val="2"/>
    </font>
    <font>
      <sz val="18"/>
      <name val="Arial"/>
      <family val="2"/>
    </font>
    <font>
      <sz val="10"/>
      <color rgb="FF333399"/>
      <name val="Arial"/>
      <family val="2"/>
    </font>
  </fonts>
  <fills count="11">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43"/>
        <bgColor indexed="64"/>
      </patternFill>
    </fill>
    <fill>
      <patternFill patternType="solid">
        <fgColor indexed="56"/>
        <bgColor indexed="64"/>
      </patternFill>
    </fill>
    <fill>
      <patternFill patternType="solid">
        <fgColor indexed="13"/>
        <bgColor indexed="64"/>
      </patternFill>
    </fill>
    <fill>
      <patternFill patternType="solid">
        <fgColor rgb="FFFFFF99"/>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3499862666707357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387">
    <xf numFmtId="0" fontId="0" fillId="0" borderId="0" xfId="0"/>
    <xf numFmtId="0" fontId="2"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5" fillId="2" borderId="0" xfId="0" applyFont="1" applyFill="1" applyAlignment="1" applyProtection="1">
      <alignment horizontal="right" vertical="top" wrapText="1"/>
      <protection hidden="1"/>
    </xf>
    <xf numFmtId="0" fontId="4" fillId="0" borderId="0" xfId="0" applyFont="1"/>
    <xf numFmtId="0" fontId="4" fillId="0" borderId="0" xfId="0" applyFont="1" applyAlignment="1">
      <alignment horizontal="center"/>
    </xf>
    <xf numFmtId="0" fontId="9" fillId="0" borderId="0" xfId="0" applyFont="1"/>
    <xf numFmtId="0" fontId="4" fillId="0" borderId="0" xfId="0" applyFont="1" applyAlignment="1">
      <alignment vertical="top"/>
    </xf>
    <xf numFmtId="0" fontId="8" fillId="0" borderId="0" xfId="0" applyFont="1"/>
    <xf numFmtId="0" fontId="8" fillId="0" borderId="0" xfId="0" applyFont="1" applyAlignment="1">
      <alignment horizontal="right"/>
    </xf>
    <xf numFmtId="0" fontId="4" fillId="0" borderId="0" xfId="0" applyFont="1" applyAlignment="1">
      <alignment horizontal="right" vertical="top" wrapText="1"/>
    </xf>
    <xf numFmtId="0" fontId="4" fillId="0" borderId="0" xfId="0" applyFont="1" applyAlignment="1">
      <alignment horizontal="right"/>
    </xf>
    <xf numFmtId="0" fontId="10" fillId="0" borderId="0" xfId="0" applyFont="1" applyAlignment="1" applyProtection="1">
      <alignment horizontal="left" vertical="top" wrapText="1"/>
      <protection hidden="1"/>
    </xf>
    <xf numFmtId="0" fontId="4" fillId="3" borderId="2" xfId="0" applyFont="1" applyFill="1" applyBorder="1"/>
    <xf numFmtId="0" fontId="2" fillId="0" borderId="0" xfId="0" applyFont="1" applyAlignment="1" applyProtection="1">
      <alignment horizontal="left" vertical="center" wrapText="1"/>
      <protection hidden="1"/>
    </xf>
    <xf numFmtId="0" fontId="2" fillId="2" borderId="0" xfId="0" applyFont="1" applyFill="1" applyAlignment="1" applyProtection="1">
      <alignment vertical="center"/>
      <protection hidden="1"/>
    </xf>
    <xf numFmtId="0" fontId="2" fillId="0" borderId="0" xfId="0" applyFont="1" applyAlignment="1" applyProtection="1">
      <alignment vertical="center"/>
      <protection hidden="1"/>
    </xf>
    <xf numFmtId="0" fontId="2" fillId="0" borderId="0" xfId="0" applyFont="1" applyAlignment="1" applyProtection="1">
      <alignment vertical="top"/>
      <protection hidden="1"/>
    </xf>
    <xf numFmtId="0" fontId="0" fillId="0" borderId="0" xfId="0" applyProtection="1">
      <protection hidden="1"/>
    </xf>
    <xf numFmtId="0" fontId="3" fillId="0" borderId="0" xfId="0" applyFont="1" applyAlignment="1" applyProtection="1">
      <alignment vertical="center"/>
      <protection hidden="1"/>
    </xf>
    <xf numFmtId="0" fontId="2" fillId="0" borderId="3" xfId="0" applyFont="1" applyBorder="1" applyAlignment="1" applyProtection="1">
      <alignment vertical="center"/>
      <protection hidden="1"/>
    </xf>
    <xf numFmtId="0" fontId="2" fillId="0" borderId="0" xfId="0" applyFont="1" applyAlignment="1" applyProtection="1">
      <alignment horizontal="center" vertical="center"/>
      <protection hidden="1"/>
    </xf>
    <xf numFmtId="49" fontId="2" fillId="0" borderId="0" xfId="0" applyNumberFormat="1" applyFont="1" applyAlignment="1" applyProtection="1">
      <alignment vertical="center"/>
      <protection hidden="1"/>
    </xf>
    <xf numFmtId="0" fontId="2" fillId="2" borderId="0" xfId="0" applyFont="1" applyFill="1" applyAlignment="1" applyProtection="1">
      <alignment vertical="center"/>
      <protection locked="0"/>
    </xf>
    <xf numFmtId="0" fontId="14" fillId="2" borderId="0" xfId="0" applyFont="1" applyFill="1" applyAlignment="1" applyProtection="1">
      <alignment vertical="center"/>
      <protection hidden="1"/>
    </xf>
    <xf numFmtId="0" fontId="14" fillId="0" borderId="0" xfId="0" applyFont="1" applyAlignment="1" applyProtection="1">
      <alignment vertical="center"/>
      <protection hidden="1"/>
    </xf>
    <xf numFmtId="0" fontId="2" fillId="0" borderId="0" xfId="0" applyFont="1" applyAlignment="1" applyProtection="1">
      <alignment horizontal="left" vertical="center"/>
      <protection hidden="1"/>
    </xf>
    <xf numFmtId="0" fontId="5" fillId="0" borderId="0" xfId="0" applyFont="1" applyAlignment="1" applyProtection="1">
      <alignment horizontal="right" vertical="top" wrapText="1"/>
      <protection hidden="1"/>
    </xf>
    <xf numFmtId="0" fontId="15" fillId="0" borderId="0" xfId="0" applyFont="1" applyAlignment="1" applyProtection="1">
      <alignment horizontal="left"/>
      <protection hidden="1"/>
    </xf>
    <xf numFmtId="0" fontId="2" fillId="0" borderId="0" xfId="0" applyFont="1" applyAlignment="1" applyProtection="1">
      <alignment horizontal="right" vertical="top"/>
      <protection hidden="1"/>
    </xf>
    <xf numFmtId="0" fontId="16" fillId="0" borderId="0" xfId="0" applyFont="1" applyAlignment="1" applyProtection="1">
      <alignment horizontal="right" vertical="top"/>
      <protection hidden="1"/>
    </xf>
    <xf numFmtId="0" fontId="6" fillId="0" borderId="0" xfId="0" applyFont="1" applyAlignment="1" applyProtection="1">
      <alignment horizontal="right" vertical="top"/>
      <protection hidden="1"/>
    </xf>
    <xf numFmtId="0" fontId="10" fillId="0" borderId="0" xfId="0" applyFont="1" applyAlignment="1" applyProtection="1">
      <alignment vertical="top" wrapText="1"/>
      <protection hidden="1"/>
    </xf>
    <xf numFmtId="0" fontId="4" fillId="3" borderId="4" xfId="0" applyFont="1" applyFill="1" applyBorder="1" applyAlignment="1">
      <alignment horizontal="center"/>
    </xf>
    <xf numFmtId="0" fontId="4" fillId="0" borderId="0" xfId="0" applyFont="1" applyAlignment="1">
      <alignment horizontal="left" indent="1"/>
    </xf>
    <xf numFmtId="0" fontId="4" fillId="3" borderId="5" xfId="0" applyFont="1" applyFill="1" applyBorder="1" applyAlignment="1">
      <alignment vertical="center"/>
    </xf>
    <xf numFmtId="0" fontId="7" fillId="0" borderId="0" xfId="0" applyFont="1" applyAlignment="1">
      <alignment horizontal="left" vertical="center" indent="1"/>
    </xf>
    <xf numFmtId="0" fontId="18" fillId="0" borderId="0" xfId="0" applyFont="1" applyAlignment="1" applyProtection="1">
      <alignment horizontal="left"/>
      <protection hidden="1"/>
    </xf>
    <xf numFmtId="0" fontId="14" fillId="0" borderId="0" xfId="0" applyFont="1" applyAlignment="1">
      <alignment horizontal="center" vertical="center"/>
    </xf>
    <xf numFmtId="0" fontId="14" fillId="2" borderId="0" xfId="0" applyFont="1" applyFill="1" applyAlignment="1">
      <alignment vertical="center"/>
    </xf>
    <xf numFmtId="0" fontId="14" fillId="0" borderId="0" xfId="0" applyFont="1" applyAlignment="1">
      <alignment vertical="center"/>
    </xf>
    <xf numFmtId="0" fontId="13" fillId="3" borderId="0" xfId="0" applyFont="1" applyFill="1" applyAlignment="1">
      <alignment horizontal="center"/>
    </xf>
    <xf numFmtId="0" fontId="14" fillId="5" borderId="1" xfId="0" applyFont="1" applyFill="1" applyBorder="1" applyAlignment="1">
      <alignment horizontal="center" vertical="center"/>
    </xf>
    <xf numFmtId="0" fontId="14" fillId="0" borderId="1" xfId="0" applyFont="1" applyBorder="1" applyAlignment="1">
      <alignment horizontal="center" vertical="center"/>
    </xf>
    <xf numFmtId="0" fontId="14" fillId="2" borderId="0" xfId="0" applyFont="1" applyFill="1" applyAlignment="1" applyProtection="1">
      <alignment horizontal="right" vertical="center" indent="1"/>
      <protection hidden="1"/>
    </xf>
    <xf numFmtId="0" fontId="14" fillId="4" borderId="1" xfId="0" applyFont="1" applyFill="1" applyBorder="1" applyAlignment="1" applyProtection="1">
      <alignment horizontal="center" vertical="center"/>
      <protection locked="0"/>
    </xf>
    <xf numFmtId="0" fontId="13" fillId="0" borderId="0" xfId="0" applyFont="1" applyAlignment="1" applyProtection="1">
      <alignment vertical="center"/>
      <protection hidden="1"/>
    </xf>
    <xf numFmtId="0" fontId="2" fillId="0" borderId="6" xfId="0" applyFont="1" applyBorder="1" applyAlignment="1" applyProtection="1">
      <alignment vertical="center"/>
      <protection hidden="1"/>
    </xf>
    <xf numFmtId="0" fontId="19" fillId="0" borderId="0" xfId="0" applyFont="1" applyAlignment="1" applyProtection="1">
      <alignment vertical="top" wrapText="1"/>
      <protection hidden="1"/>
    </xf>
    <xf numFmtId="0" fontId="7" fillId="0" borderId="0" xfId="0" applyFont="1" applyAlignment="1">
      <alignment horizontal="left" vertical="center"/>
    </xf>
    <xf numFmtId="0" fontId="4" fillId="0" borderId="0" xfId="0" applyFont="1" applyAlignment="1">
      <alignment horizontal="left" vertical="center" indent="1"/>
    </xf>
    <xf numFmtId="0" fontId="14" fillId="6" borderId="1" xfId="0" quotePrefix="1" applyFont="1" applyFill="1" applyBorder="1" applyAlignment="1">
      <alignment horizontal="center" vertical="center"/>
    </xf>
    <xf numFmtId="0" fontId="14" fillId="5" borderId="1" xfId="0" applyFont="1" applyFill="1" applyBorder="1" applyAlignment="1">
      <alignment horizontal="left" vertical="center"/>
    </xf>
    <xf numFmtId="0" fontId="14" fillId="0" borderId="0" xfId="0" applyFont="1" applyProtection="1">
      <protection hidden="1"/>
    </xf>
    <xf numFmtId="0" fontId="14" fillId="0" borderId="0" xfId="0" applyFont="1" applyAlignment="1" applyProtection="1">
      <alignment vertical="top"/>
      <protection hidden="1"/>
    </xf>
    <xf numFmtId="0" fontId="13" fillId="0" borderId="0" xfId="0" applyFont="1" applyProtection="1">
      <protection hidden="1"/>
    </xf>
    <xf numFmtId="0" fontId="14" fillId="0" borderId="1" xfId="0" applyFont="1" applyBorder="1" applyAlignment="1" applyProtection="1">
      <alignment horizontal="center"/>
      <protection hidden="1"/>
    </xf>
    <xf numFmtId="0" fontId="14" fillId="0" borderId="0" xfId="0" applyFont="1" applyAlignment="1" applyProtection="1">
      <alignment horizontal="center" vertical="top"/>
      <protection hidden="1"/>
    </xf>
    <xf numFmtId="0" fontId="14" fillId="3" borderId="1" xfId="0" applyFont="1" applyFill="1" applyBorder="1" applyAlignment="1" applyProtection="1">
      <alignment vertical="center"/>
      <protection hidden="1"/>
    </xf>
    <xf numFmtId="0" fontId="17" fillId="0" borderId="0" xfId="0" applyFont="1" applyAlignment="1" applyProtection="1">
      <alignment vertical="top"/>
      <protection locked="0"/>
    </xf>
    <xf numFmtId="0" fontId="2" fillId="3" borderId="7" xfId="0" applyFont="1" applyFill="1" applyBorder="1" applyAlignment="1" applyProtection="1">
      <alignment horizontal="center"/>
      <protection hidden="1"/>
    </xf>
    <xf numFmtId="0" fontId="2" fillId="3" borderId="4" xfId="0" applyFont="1" applyFill="1" applyBorder="1" applyProtection="1">
      <protection hidden="1"/>
    </xf>
    <xf numFmtId="0" fontId="2" fillId="3" borderId="8" xfId="0" applyFont="1" applyFill="1" applyBorder="1" applyProtection="1">
      <protection hidden="1"/>
    </xf>
    <xf numFmtId="0" fontId="2" fillId="3" borderId="9" xfId="0" applyFont="1" applyFill="1" applyBorder="1" applyAlignment="1" applyProtection="1">
      <alignment vertical="center"/>
      <protection hidden="1"/>
    </xf>
    <xf numFmtId="0" fontId="2" fillId="3" borderId="3" xfId="0" applyFont="1" applyFill="1" applyBorder="1" applyAlignment="1" applyProtection="1">
      <alignment vertical="center"/>
      <protection hidden="1"/>
    </xf>
    <xf numFmtId="0" fontId="2" fillId="3" borderId="10" xfId="0" applyFont="1" applyFill="1" applyBorder="1" applyAlignment="1" applyProtection="1">
      <alignment vertical="center"/>
      <protection hidden="1"/>
    </xf>
    <xf numFmtId="0" fontId="2" fillId="3" borderId="11" xfId="0" applyFont="1" applyFill="1" applyBorder="1" applyAlignment="1" applyProtection="1">
      <alignment vertical="center"/>
      <protection hidden="1"/>
    </xf>
    <xf numFmtId="0" fontId="2" fillId="3" borderId="12" xfId="0" applyFont="1" applyFill="1" applyBorder="1" applyAlignment="1" applyProtection="1">
      <alignment vertical="center"/>
      <protection hidden="1"/>
    </xf>
    <xf numFmtId="0" fontId="2" fillId="3" borderId="13" xfId="0" applyFont="1" applyFill="1" applyBorder="1" applyAlignment="1" applyProtection="1">
      <alignment vertical="center"/>
      <protection hidden="1"/>
    </xf>
    <xf numFmtId="0" fontId="13" fillId="0" borderId="15" xfId="0" applyFont="1" applyBorder="1" applyAlignment="1" applyProtection="1">
      <alignment horizontal="center"/>
      <protection hidden="1"/>
    </xf>
    <xf numFmtId="14" fontId="14" fillId="5" borderId="1" xfId="0" applyNumberFormat="1" applyFont="1" applyFill="1" applyBorder="1" applyAlignment="1">
      <alignment horizontal="center" vertical="center"/>
    </xf>
    <xf numFmtId="0" fontId="14" fillId="0" borderId="0" xfId="0" applyFont="1" applyAlignment="1" applyProtection="1">
      <alignment vertical="top" wrapText="1"/>
      <protection hidden="1"/>
    </xf>
    <xf numFmtId="0" fontId="13" fillId="5" borderId="1" xfId="0" applyFont="1" applyFill="1" applyBorder="1" applyAlignment="1" applyProtection="1">
      <alignment vertical="top" wrapText="1"/>
      <protection hidden="1"/>
    </xf>
    <xf numFmtId="0" fontId="14" fillId="0" borderId="1" xfId="0" applyFont="1" applyBorder="1" applyAlignment="1" applyProtection="1">
      <alignment vertical="top" wrapText="1"/>
      <protection hidden="1"/>
    </xf>
    <xf numFmtId="0" fontId="14" fillId="0" borderId="16" xfId="0" applyFont="1" applyBorder="1" applyAlignment="1" applyProtection="1">
      <alignment vertical="top" wrapText="1"/>
      <protection hidden="1"/>
    </xf>
    <xf numFmtId="0" fontId="14" fillId="0" borderId="17" xfId="0" applyFont="1" applyBorder="1" applyAlignment="1" applyProtection="1">
      <alignment vertical="top" wrapText="1"/>
      <protection hidden="1"/>
    </xf>
    <xf numFmtId="0" fontId="14" fillId="0" borderId="15" xfId="0" applyFont="1" applyBorder="1" applyAlignment="1" applyProtection="1">
      <alignment vertical="top" wrapText="1"/>
      <protection hidden="1"/>
    </xf>
    <xf numFmtId="0" fontId="14" fillId="4" borderId="1" xfId="0" applyFont="1" applyFill="1" applyBorder="1" applyAlignment="1" applyProtection="1">
      <alignment vertical="top" wrapText="1"/>
      <protection locked="0"/>
    </xf>
    <xf numFmtId="0" fontId="14" fillId="4" borderId="16" xfId="0" applyFont="1" applyFill="1" applyBorder="1" applyAlignment="1" applyProtection="1">
      <alignment vertical="top" wrapText="1"/>
      <protection locked="0"/>
    </xf>
    <xf numFmtId="0" fontId="14" fillId="4" borderId="17" xfId="0" applyFont="1" applyFill="1" applyBorder="1" applyAlignment="1" applyProtection="1">
      <alignment vertical="top" wrapText="1"/>
      <protection locked="0"/>
    </xf>
    <xf numFmtId="0" fontId="14" fillId="4" borderId="15" xfId="0" applyFont="1" applyFill="1" applyBorder="1" applyAlignment="1" applyProtection="1">
      <alignment vertical="top" wrapText="1"/>
      <protection locked="0"/>
    </xf>
    <xf numFmtId="0" fontId="14" fillId="0" borderId="18" xfId="0" applyFont="1" applyBorder="1" applyAlignment="1" applyProtection="1">
      <alignment vertical="top" wrapText="1"/>
      <protection hidden="1"/>
    </xf>
    <xf numFmtId="0" fontId="14" fillId="4" borderId="18" xfId="0" applyFont="1" applyFill="1" applyBorder="1" applyAlignment="1" applyProtection="1">
      <alignment vertical="top" wrapText="1"/>
      <protection locked="0"/>
    </xf>
    <xf numFmtId="0" fontId="13" fillId="0" borderId="0" xfId="0" applyFont="1" applyAlignment="1" applyProtection="1">
      <alignment vertical="top" wrapText="1"/>
      <protection hidden="1"/>
    </xf>
    <xf numFmtId="0" fontId="14" fillId="0" borderId="0" xfId="0" applyFont="1" applyAlignment="1" applyProtection="1">
      <alignment horizontal="center"/>
      <protection hidden="1"/>
    </xf>
    <xf numFmtId="0" fontId="14" fillId="0" borderId="0" xfId="0" applyFont="1" applyAlignment="1" applyProtection="1">
      <alignment horizontal="center" vertical="center"/>
      <protection hidden="1"/>
    </xf>
    <xf numFmtId="0" fontId="13" fillId="0" borderId="0" xfId="0" applyFont="1" applyAlignment="1" applyProtection="1">
      <alignment horizontal="left" vertical="center"/>
      <protection hidden="1"/>
    </xf>
    <xf numFmtId="0" fontId="14" fillId="0" borderId="0" xfId="0" applyFont="1" applyAlignment="1" applyProtection="1">
      <alignment horizontal="left" vertical="center" wrapText="1"/>
      <protection hidden="1"/>
    </xf>
    <xf numFmtId="164" fontId="14" fillId="0" borderId="0" xfId="0" applyNumberFormat="1" applyFont="1" applyAlignment="1" applyProtection="1">
      <alignment horizontal="right" vertical="center"/>
      <protection hidden="1"/>
    </xf>
    <xf numFmtId="0" fontId="14" fillId="0" borderId="0" xfId="0" applyFont="1" applyAlignment="1">
      <alignment horizontal="left" vertical="center" wrapText="1"/>
    </xf>
    <xf numFmtId="164" fontId="14" fillId="0" borderId="0" xfId="0" applyNumberFormat="1" applyFont="1" applyAlignment="1">
      <alignment horizontal="right" vertical="center"/>
    </xf>
    <xf numFmtId="164" fontId="13" fillId="0" borderId="0" xfId="0" applyNumberFormat="1" applyFont="1" applyAlignment="1">
      <alignment horizontal="right" vertical="center"/>
    </xf>
    <xf numFmtId="0" fontId="25" fillId="0" borderId="0" xfId="0" applyFont="1" applyAlignment="1" applyProtection="1">
      <alignment horizontal="left" vertical="center" wrapText="1"/>
      <protection hidden="1"/>
    </xf>
    <xf numFmtId="164" fontId="25" fillId="0" borderId="0" xfId="0" applyNumberFormat="1" applyFont="1" applyAlignment="1" applyProtection="1">
      <alignment horizontal="right" vertical="center"/>
      <protection hidden="1"/>
    </xf>
    <xf numFmtId="0" fontId="25" fillId="0" borderId="0" xfId="0" applyFont="1" applyAlignment="1">
      <alignment horizontal="left" vertical="center" wrapText="1"/>
    </xf>
    <xf numFmtId="164" fontId="25" fillId="0" borderId="0" xfId="0" applyNumberFormat="1" applyFont="1" applyAlignment="1">
      <alignment horizontal="right" vertical="center"/>
    </xf>
    <xf numFmtId="0" fontId="23" fillId="0" borderId="0" xfId="0" applyFont="1" applyAlignment="1" applyProtection="1">
      <alignment vertical="center"/>
      <protection hidden="1"/>
    </xf>
    <xf numFmtId="0" fontId="23" fillId="0" borderId="0" xfId="0" applyFont="1" applyProtection="1">
      <protection hidden="1"/>
    </xf>
    <xf numFmtId="0" fontId="13" fillId="2" borderId="0" xfId="0" applyFont="1" applyFill="1" applyAlignment="1" applyProtection="1">
      <alignment vertical="center"/>
      <protection hidden="1"/>
    </xf>
    <xf numFmtId="0" fontId="12" fillId="0" borderId="0" xfId="0" applyFont="1" applyAlignment="1" applyProtection="1">
      <alignment vertical="center"/>
      <protection hidden="1"/>
    </xf>
    <xf numFmtId="164" fontId="13" fillId="0" borderId="0" xfId="0" applyNumberFormat="1" applyFont="1" applyAlignment="1">
      <alignment vertical="center"/>
    </xf>
    <xf numFmtId="0" fontId="14" fillId="0" borderId="0" xfId="0" applyFont="1" applyAlignment="1" applyProtection="1">
      <alignment vertical="center" wrapText="1"/>
      <protection hidden="1"/>
    </xf>
    <xf numFmtId="0" fontId="27" fillId="0" borderId="0" xfId="0" applyFont="1" applyAlignment="1" applyProtection="1">
      <alignment vertical="center"/>
      <protection hidden="1"/>
    </xf>
    <xf numFmtId="0" fontId="27" fillId="0" borderId="0" xfId="0" applyFont="1" applyAlignment="1" applyProtection="1">
      <alignment horizontal="center" vertical="center"/>
      <protection hidden="1"/>
    </xf>
    <xf numFmtId="0" fontId="29" fillId="0" borderId="0" xfId="0" applyFont="1" applyAlignment="1" applyProtection="1">
      <alignment horizontal="center" vertical="center"/>
      <protection hidden="1"/>
    </xf>
    <xf numFmtId="0" fontId="29" fillId="0" borderId="0" xfId="0" applyFont="1" applyAlignment="1" applyProtection="1">
      <alignment vertical="center"/>
      <protection hidden="1"/>
    </xf>
    <xf numFmtId="0" fontId="30" fillId="0" borderId="0" xfId="0" applyFont="1" applyAlignment="1" applyProtection="1">
      <alignment vertical="center"/>
      <protection hidden="1"/>
    </xf>
    <xf numFmtId="0" fontId="26" fillId="0" borderId="0" xfId="0" applyFont="1" applyProtection="1">
      <protection hidden="1"/>
    </xf>
    <xf numFmtId="0" fontId="2" fillId="3" borderId="1" xfId="0" applyFont="1" applyFill="1" applyBorder="1" applyAlignment="1" applyProtection="1">
      <alignment horizontal="center" wrapText="1"/>
      <protection hidden="1"/>
    </xf>
    <xf numFmtId="0" fontId="10" fillId="0" borderId="0" xfId="0" applyFont="1" applyAlignment="1" applyProtection="1">
      <alignment horizontal="right" vertical="top" wrapText="1"/>
      <protection hidden="1"/>
    </xf>
    <xf numFmtId="0" fontId="8" fillId="0" borderId="0" xfId="0" applyFont="1" applyAlignment="1">
      <alignment horizontal="left" vertical="top" wrapText="1"/>
    </xf>
    <xf numFmtId="0" fontId="10" fillId="2" borderId="0" xfId="0" applyFont="1" applyFill="1" applyAlignment="1" applyProtection="1">
      <alignment vertical="center"/>
      <protection hidden="1"/>
    </xf>
    <xf numFmtId="0" fontId="10" fillId="0" borderId="0" xfId="0" applyFont="1" applyAlignment="1" applyProtection="1">
      <alignment vertical="center"/>
      <protection hidden="1"/>
    </xf>
    <xf numFmtId="0" fontId="2" fillId="0" borderId="0" xfId="0" applyFont="1" applyAlignment="1" applyProtection="1">
      <alignment horizontal="left" vertical="top" wrapText="1"/>
      <protection hidden="1"/>
    </xf>
    <xf numFmtId="0" fontId="13" fillId="0" borderId="0" xfId="0" applyFont="1" applyAlignment="1" applyProtection="1">
      <alignment horizontal="center"/>
      <protection hidden="1"/>
    </xf>
    <xf numFmtId="0" fontId="21" fillId="0" borderId="0" xfId="0" applyFont="1" applyAlignment="1" applyProtection="1">
      <alignment vertical="top" wrapText="1"/>
      <protection hidden="1"/>
    </xf>
    <xf numFmtId="0" fontId="35" fillId="0" borderId="0" xfId="0" applyFont="1"/>
    <xf numFmtId="0" fontId="37" fillId="2" borderId="0" xfId="0" applyFont="1" applyFill="1" applyAlignment="1" applyProtection="1">
      <alignment vertical="center"/>
      <protection hidden="1"/>
    </xf>
    <xf numFmtId="0" fontId="37" fillId="0" borderId="0" xfId="0" applyFont="1" applyAlignment="1" applyProtection="1">
      <alignment vertical="center"/>
      <protection hidden="1"/>
    </xf>
    <xf numFmtId="0" fontId="17" fillId="0" borderId="0" xfId="0" applyFont="1" applyAlignment="1" applyProtection="1">
      <alignment vertical="center" wrapText="1"/>
      <protection hidden="1"/>
    </xf>
    <xf numFmtId="0" fontId="38" fillId="0" borderId="0" xfId="0" applyFont="1" applyAlignment="1" applyProtection="1">
      <alignment vertical="center" wrapText="1"/>
      <protection hidden="1"/>
    </xf>
    <xf numFmtId="0" fontId="38" fillId="0" borderId="0" xfId="0" applyFont="1" applyAlignment="1" applyProtection="1">
      <alignment horizontal="left" vertical="center" wrapText="1"/>
      <protection hidden="1"/>
    </xf>
    <xf numFmtId="0" fontId="39" fillId="0" borderId="0" xfId="0" applyFont="1" applyAlignment="1" applyProtection="1">
      <alignment horizontal="left" vertical="top"/>
      <protection hidden="1"/>
    </xf>
    <xf numFmtId="0" fontId="40" fillId="0" borderId="0" xfId="0" applyFont="1"/>
    <xf numFmtId="0" fontId="22" fillId="0" borderId="0" xfId="0" applyFont="1" applyAlignment="1" applyProtection="1">
      <alignment horizontal="right" vertical="top" wrapText="1"/>
      <protection hidden="1"/>
    </xf>
    <xf numFmtId="0" fontId="2" fillId="0" borderId="0" xfId="0" applyFont="1" applyAlignment="1" applyProtection="1">
      <alignment horizontal="left" indent="1"/>
      <protection hidden="1"/>
    </xf>
    <xf numFmtId="0" fontId="3" fillId="2" borderId="0" xfId="0" applyFont="1" applyFill="1" applyAlignment="1" applyProtection="1">
      <alignment vertical="center"/>
      <protection hidden="1"/>
    </xf>
    <xf numFmtId="0" fontId="2" fillId="0" borderId="0" xfId="0" applyFont="1" applyAlignment="1" applyProtection="1">
      <alignment horizontal="right" vertical="center" indent="1"/>
      <protection hidden="1"/>
    </xf>
    <xf numFmtId="0" fontId="2" fillId="0" borderId="0" xfId="0" applyFont="1" applyProtection="1">
      <protection hidden="1"/>
    </xf>
    <xf numFmtId="0" fontId="3" fillId="0" borderId="0" xfId="0" applyFont="1" applyProtection="1">
      <protection hidden="1"/>
    </xf>
    <xf numFmtId="0" fontId="3" fillId="2" borderId="11" xfId="0" applyFont="1" applyFill="1" applyBorder="1" applyAlignment="1" applyProtection="1">
      <alignment vertical="center" wrapText="1"/>
      <protection hidden="1"/>
    </xf>
    <xf numFmtId="0" fontId="3" fillId="2" borderId="5" xfId="0" applyFont="1" applyFill="1" applyBorder="1" applyAlignment="1" applyProtection="1">
      <alignment horizontal="left" vertical="center" wrapText="1"/>
      <protection hidden="1"/>
    </xf>
    <xf numFmtId="0" fontId="3"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left" vertical="center" wrapText="1"/>
      <protection hidden="1"/>
    </xf>
    <xf numFmtId="49" fontId="2" fillId="0" borderId="1" xfId="0" applyNumberFormat="1" applyFont="1" applyBorder="1" applyAlignment="1" applyProtection="1">
      <alignment vertical="top" wrapText="1"/>
      <protection hidden="1"/>
    </xf>
    <xf numFmtId="0" fontId="3" fillId="2" borderId="16" xfId="0" applyFont="1" applyFill="1" applyBorder="1" applyAlignment="1" applyProtection="1">
      <alignment horizontal="left" vertical="center"/>
      <protection hidden="1"/>
    </xf>
    <xf numFmtId="165" fontId="41" fillId="2" borderId="14" xfId="0" quotePrefix="1" applyNumberFormat="1" applyFont="1" applyFill="1" applyBorder="1" applyAlignment="1">
      <alignment horizontal="center"/>
    </xf>
    <xf numFmtId="165" fontId="41" fillId="2" borderId="1" xfId="0" quotePrefix="1" applyNumberFormat="1" applyFont="1" applyFill="1" applyBorder="1" applyAlignment="1">
      <alignment horizontal="center"/>
    </xf>
    <xf numFmtId="49" fontId="2" fillId="0" borderId="15" xfId="0" applyNumberFormat="1" applyFont="1" applyBorder="1" applyAlignment="1" applyProtection="1">
      <alignment vertical="top" wrapText="1"/>
      <protection hidden="1"/>
    </xf>
    <xf numFmtId="0" fontId="2" fillId="2" borderId="1" xfId="0" applyFont="1" applyFill="1" applyBorder="1" applyProtection="1">
      <protection hidden="1"/>
    </xf>
    <xf numFmtId="0" fontId="3" fillId="2" borderId="1" xfId="0" applyFont="1" applyFill="1" applyBorder="1" applyAlignment="1" applyProtection="1">
      <alignment horizontal="center" vertical="center"/>
      <protection hidden="1"/>
    </xf>
    <xf numFmtId="0" fontId="3" fillId="2" borderId="1" xfId="0" applyFont="1" applyFill="1" applyBorder="1" applyAlignment="1" applyProtection="1">
      <alignment vertical="center"/>
      <protection hidden="1"/>
    </xf>
    <xf numFmtId="0" fontId="42" fillId="0" borderId="1" xfId="0" applyFont="1" applyBorder="1" applyAlignment="1" applyProtection="1">
      <alignment vertical="top" wrapText="1"/>
      <protection hidden="1"/>
    </xf>
    <xf numFmtId="0" fontId="22" fillId="0" borderId="0" xfId="0" applyFont="1" applyAlignment="1" applyProtection="1">
      <alignment horizontal="left" vertical="top" wrapText="1"/>
      <protection hidden="1"/>
    </xf>
    <xf numFmtId="0" fontId="22" fillId="0" borderId="1" xfId="0" applyFont="1" applyBorder="1" applyAlignment="1" applyProtection="1">
      <alignment vertical="top" wrapText="1"/>
      <protection hidden="1"/>
    </xf>
    <xf numFmtId="0" fontId="2" fillId="0" borderId="1" xfId="0" applyFont="1" applyBorder="1" applyProtection="1">
      <protection hidden="1"/>
    </xf>
    <xf numFmtId="0" fontId="2" fillId="2" borderId="0" xfId="0" applyFont="1" applyFill="1" applyProtection="1">
      <protection hidden="1"/>
    </xf>
    <xf numFmtId="0" fontId="3" fillId="2" borderId="9" xfId="0" applyFont="1" applyFill="1" applyBorder="1" applyAlignment="1" applyProtection="1">
      <alignment vertical="center" wrapText="1"/>
      <protection hidden="1"/>
    </xf>
    <xf numFmtId="166" fontId="13" fillId="2" borderId="0" xfId="0" applyNumberFormat="1" applyFont="1" applyFill="1" applyAlignment="1" applyProtection="1">
      <alignment vertical="center"/>
      <protection hidden="1"/>
    </xf>
    <xf numFmtId="0" fontId="0" fillId="0" borderId="0" xfId="0" applyAlignment="1">
      <alignment wrapText="1"/>
    </xf>
    <xf numFmtId="0" fontId="1" fillId="0" borderId="0" xfId="0" applyFont="1" applyAlignment="1" applyProtection="1">
      <alignment horizontal="left" vertical="top" wrapText="1"/>
      <protection hidden="1"/>
    </xf>
    <xf numFmtId="0" fontId="7" fillId="0" borderId="0" xfId="0" applyFont="1"/>
    <xf numFmtId="0" fontId="17" fillId="0" borderId="0" xfId="0" applyFont="1" applyAlignment="1" applyProtection="1">
      <alignment horizontal="left" vertical="center" wrapText="1"/>
      <protection hidden="1"/>
    </xf>
    <xf numFmtId="0" fontId="4" fillId="0" borderId="0" xfId="0" applyFont="1" applyAlignment="1">
      <alignment wrapText="1"/>
    </xf>
    <xf numFmtId="0" fontId="14" fillId="2" borderId="0" xfId="0" applyFont="1" applyFill="1" applyAlignment="1" applyProtection="1">
      <alignment horizontal="right" vertical="center"/>
      <protection hidden="1"/>
    </xf>
    <xf numFmtId="0" fontId="2" fillId="0" borderId="0" xfId="0" applyFont="1" applyAlignment="1" applyProtection="1">
      <alignment horizontal="left"/>
      <protection hidden="1"/>
    </xf>
    <xf numFmtId="0" fontId="39" fillId="0" borderId="0" xfId="0" applyFont="1" applyAlignment="1" applyProtection="1">
      <alignment horizontal="center" vertical="center"/>
      <protection hidden="1"/>
    </xf>
    <xf numFmtId="0" fontId="3" fillId="2" borderId="9" xfId="0" applyFont="1" applyFill="1" applyBorder="1" applyAlignment="1" applyProtection="1">
      <alignment horizontal="left" vertical="center" wrapText="1"/>
      <protection hidden="1"/>
    </xf>
    <xf numFmtId="0" fontId="3" fillId="2" borderId="10" xfId="0" applyFont="1" applyFill="1" applyBorder="1" applyAlignment="1" applyProtection="1">
      <alignment horizontal="left" vertical="center" wrapText="1"/>
      <protection hidden="1"/>
    </xf>
    <xf numFmtId="0" fontId="3" fillId="2" borderId="12" xfId="0" applyFont="1" applyFill="1" applyBorder="1" applyAlignment="1" applyProtection="1">
      <alignment horizontal="left" vertical="center" wrapText="1"/>
      <protection hidden="1"/>
    </xf>
    <xf numFmtId="0" fontId="3" fillId="2" borderId="14" xfId="0" applyFont="1" applyFill="1" applyBorder="1" applyAlignment="1" applyProtection="1">
      <alignment horizontal="left" vertical="center" wrapText="1"/>
      <protection hidden="1"/>
    </xf>
    <xf numFmtId="0" fontId="3" fillId="3" borderId="9" xfId="0" applyFont="1" applyFill="1" applyBorder="1" applyAlignment="1" applyProtection="1">
      <alignment horizontal="left" vertical="top"/>
      <protection hidden="1"/>
    </xf>
    <xf numFmtId="0" fontId="3" fillId="3" borderId="3" xfId="0" applyFont="1" applyFill="1" applyBorder="1" applyAlignment="1" applyProtection="1">
      <alignment horizontal="left" vertical="top"/>
      <protection hidden="1"/>
    </xf>
    <xf numFmtId="0" fontId="3" fillId="3" borderId="10" xfId="0" applyFont="1" applyFill="1" applyBorder="1" applyAlignment="1" applyProtection="1">
      <alignment horizontal="left" vertical="top"/>
      <protection hidden="1"/>
    </xf>
    <xf numFmtId="0" fontId="2" fillId="3" borderId="11" xfId="0" applyFont="1" applyFill="1" applyBorder="1" applyAlignment="1" applyProtection="1">
      <alignment horizontal="left" vertical="top"/>
      <protection hidden="1"/>
    </xf>
    <xf numFmtId="0" fontId="2" fillId="3" borderId="12" xfId="0" applyFont="1" applyFill="1" applyBorder="1" applyAlignment="1" applyProtection="1">
      <alignment horizontal="left" vertical="top"/>
      <protection hidden="1"/>
    </xf>
    <xf numFmtId="0" fontId="2" fillId="3" borderId="14" xfId="0" applyFont="1" applyFill="1" applyBorder="1" applyAlignment="1" applyProtection="1">
      <alignment horizontal="left" vertical="top"/>
      <protection hidden="1"/>
    </xf>
    <xf numFmtId="165" fontId="41" fillId="2" borderId="16" xfId="0" applyNumberFormat="1" applyFont="1" applyFill="1" applyBorder="1" applyAlignment="1">
      <alignment horizontal="center" vertical="center"/>
    </xf>
    <xf numFmtId="165" fontId="41" fillId="2" borderId="17" xfId="0" applyNumberFormat="1" applyFont="1" applyFill="1" applyBorder="1" applyAlignment="1">
      <alignment horizontal="center" vertical="center"/>
    </xf>
    <xf numFmtId="165" fontId="41" fillId="2" borderId="15" xfId="0" applyNumberFormat="1" applyFont="1" applyFill="1" applyBorder="1" applyAlignment="1">
      <alignment horizontal="center" vertical="center"/>
    </xf>
    <xf numFmtId="0" fontId="39" fillId="0" borderId="0" xfId="0" applyFont="1" applyAlignment="1" applyProtection="1">
      <alignment horizontal="right" vertical="center"/>
      <protection hidden="1"/>
    </xf>
    <xf numFmtId="0" fontId="3" fillId="2" borderId="3" xfId="0" applyFont="1" applyFill="1" applyBorder="1" applyAlignment="1" applyProtection="1">
      <alignment horizontal="left" vertical="center" wrapText="1"/>
      <protection hidden="1"/>
    </xf>
    <xf numFmtId="0" fontId="3" fillId="3" borderId="3" xfId="0" applyFont="1" applyFill="1" applyBorder="1" applyAlignment="1" applyProtection="1">
      <alignment horizontal="left" vertical="center"/>
      <protection hidden="1"/>
    </xf>
    <xf numFmtId="0" fontId="3" fillId="3" borderId="10" xfId="0" applyFont="1" applyFill="1" applyBorder="1" applyAlignment="1" applyProtection="1">
      <alignment horizontal="left" vertical="center"/>
      <protection hidden="1"/>
    </xf>
    <xf numFmtId="0" fontId="22" fillId="0" borderId="1" xfId="0" applyFont="1" applyBorder="1" applyAlignment="1" applyProtection="1">
      <alignment horizontal="left" vertical="top" wrapText="1"/>
      <protection hidden="1"/>
    </xf>
    <xf numFmtId="0" fontId="42" fillId="2" borderId="1" xfId="0" applyFont="1" applyFill="1" applyBorder="1" applyAlignment="1" applyProtection="1">
      <alignment horizontal="center" vertical="top" wrapText="1"/>
      <protection hidden="1"/>
    </xf>
    <xf numFmtId="0" fontId="2" fillId="0" borderId="1" xfId="0" applyFont="1" applyBorder="1" applyAlignment="1" applyProtection="1">
      <alignment horizontal="center" wrapText="1"/>
      <protection hidden="1"/>
    </xf>
    <xf numFmtId="0" fontId="3" fillId="2" borderId="0" xfId="0" applyFont="1" applyFill="1" applyAlignment="1" applyProtection="1">
      <alignment horizontal="left" vertical="center"/>
      <protection hidden="1"/>
    </xf>
    <xf numFmtId="0" fontId="2" fillId="3" borderId="11" xfId="0" applyFont="1" applyFill="1" applyBorder="1" applyAlignment="1" applyProtection="1">
      <alignment horizontal="left" vertical="center"/>
      <protection hidden="1"/>
    </xf>
    <xf numFmtId="0" fontId="2" fillId="3" borderId="12" xfId="0" applyFont="1" applyFill="1" applyBorder="1" applyAlignment="1" applyProtection="1">
      <alignment horizontal="left" vertical="center"/>
      <protection hidden="1"/>
    </xf>
    <xf numFmtId="0" fontId="2" fillId="3" borderId="14" xfId="0" applyFont="1" applyFill="1" applyBorder="1" applyAlignment="1" applyProtection="1">
      <alignment horizontal="left" vertical="center"/>
      <protection hidden="1"/>
    </xf>
    <xf numFmtId="0" fontId="14" fillId="0" borderId="15" xfId="0" applyFont="1" applyBorder="1" applyAlignment="1" applyProtection="1">
      <alignment horizontal="center"/>
      <protection hidden="1"/>
    </xf>
    <xf numFmtId="0" fontId="2" fillId="0" borderId="1" xfId="0" applyFont="1" applyBorder="1" applyAlignment="1" applyProtection="1">
      <alignment vertical="top" wrapText="1"/>
      <protection hidden="1"/>
    </xf>
    <xf numFmtId="0" fontId="2" fillId="0" borderId="1" xfId="0" applyFont="1" applyBorder="1" applyAlignment="1" applyProtection="1">
      <alignment horizontal="center" vertical="center"/>
      <protection locked="0"/>
    </xf>
    <xf numFmtId="0" fontId="2" fillId="0" borderId="1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49" fontId="2" fillId="0" borderId="16" xfId="0" applyNumberFormat="1" applyFont="1" applyBorder="1" applyAlignment="1" applyProtection="1">
      <alignment horizontal="center" vertical="center" wrapText="1"/>
      <protection hidden="1"/>
    </xf>
    <xf numFmtId="49" fontId="2" fillId="0" borderId="15" xfId="0" applyNumberFormat="1" applyFont="1" applyBorder="1" applyAlignment="1" applyProtection="1">
      <alignment horizontal="center" vertical="center" wrapText="1"/>
      <protection hidden="1"/>
    </xf>
    <xf numFmtId="0" fontId="2" fillId="0" borderId="16" xfId="0" applyFont="1" applyBorder="1" applyAlignment="1" applyProtection="1">
      <alignment vertical="center" wrapText="1"/>
      <protection hidden="1"/>
    </xf>
    <xf numFmtId="0" fontId="44" fillId="0" borderId="0" xfId="0" applyFont="1" applyAlignment="1" applyProtection="1">
      <alignment vertical="center"/>
      <protection hidden="1"/>
    </xf>
    <xf numFmtId="0" fontId="45" fillId="0" borderId="0" xfId="0" applyFont="1"/>
    <xf numFmtId="0" fontId="40" fillId="0" borderId="32" xfId="0" applyFont="1" applyBorder="1" applyAlignment="1">
      <alignment wrapText="1"/>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45" fillId="0" borderId="32" xfId="0" applyFont="1" applyBorder="1" applyAlignment="1">
      <alignment horizontal="center"/>
    </xf>
    <xf numFmtId="2" fontId="0" fillId="9" borderId="37" xfId="0" applyNumberFormat="1" applyFill="1" applyBorder="1" applyAlignment="1">
      <alignment horizontal="center" vertical="center"/>
    </xf>
    <xf numFmtId="2" fontId="0" fillId="9" borderId="38" xfId="0" applyNumberFormat="1" applyFill="1" applyBorder="1" applyAlignment="1">
      <alignment horizontal="center" vertical="center"/>
    </xf>
    <xf numFmtId="2" fontId="0" fillId="9" borderId="39" xfId="0" applyNumberFormat="1" applyFill="1" applyBorder="1" applyAlignment="1">
      <alignment horizontal="center" vertical="center"/>
    </xf>
    <xf numFmtId="2" fontId="0" fillId="0" borderId="41" xfId="0" applyNumberFormat="1" applyBorder="1" applyAlignment="1">
      <alignment horizontal="center" vertical="center"/>
    </xf>
    <xf numFmtId="2" fontId="0" fillId="0" borderId="42" xfId="0" applyNumberFormat="1" applyBorder="1" applyAlignment="1">
      <alignment horizontal="center" vertical="center"/>
    </xf>
    <xf numFmtId="2" fontId="0" fillId="0" borderId="43" xfId="0" applyNumberFormat="1" applyBorder="1" applyAlignment="1">
      <alignment horizontal="center" vertical="center"/>
    </xf>
    <xf numFmtId="0" fontId="0" fillId="10" borderId="0" xfId="0" applyFill="1" applyAlignment="1">
      <alignment wrapText="1"/>
    </xf>
    <xf numFmtId="0" fontId="0" fillId="10" borderId="0" xfId="0" applyFill="1"/>
    <xf numFmtId="0" fontId="45" fillId="10" borderId="0" xfId="0" applyFont="1" applyFill="1"/>
    <xf numFmtId="0" fontId="40" fillId="0" borderId="0" xfId="0" applyFont="1" applyAlignment="1">
      <alignment wrapText="1"/>
    </xf>
    <xf numFmtId="0" fontId="2" fillId="2" borderId="17" xfId="0" applyFont="1" applyFill="1" applyBorder="1" applyAlignment="1" applyProtection="1">
      <alignment horizontal="left" vertical="top" wrapText="1"/>
      <protection hidden="1"/>
    </xf>
    <xf numFmtId="0" fontId="40" fillId="0" borderId="0" xfId="0" applyFont="1" applyAlignment="1">
      <alignment horizontal="left" wrapText="1"/>
    </xf>
    <xf numFmtId="49" fontId="2" fillId="0" borderId="17" xfId="0" applyNumberFormat="1" applyFont="1" applyBorder="1" applyAlignment="1" applyProtection="1">
      <alignment horizontal="center" vertical="center" wrapText="1"/>
      <protection hidden="1"/>
    </xf>
    <xf numFmtId="0" fontId="47" fillId="0" borderId="0" xfId="0" applyFont="1"/>
    <xf numFmtId="0" fontId="47" fillId="0" borderId="0" xfId="0" applyFont="1" applyAlignment="1">
      <alignment vertical="center"/>
    </xf>
    <xf numFmtId="0" fontId="47" fillId="0" borderId="0" xfId="0" applyFont="1" applyAlignment="1">
      <alignment vertical="center" wrapText="1"/>
    </xf>
    <xf numFmtId="165" fontId="40" fillId="0" borderId="0" xfId="0" applyNumberFormat="1" applyFont="1"/>
    <xf numFmtId="0" fontId="7" fillId="0" borderId="0" xfId="0" applyFont="1" applyAlignment="1">
      <alignment horizontal="center"/>
    </xf>
    <xf numFmtId="0" fontId="11" fillId="8" borderId="0" xfId="0" applyFont="1" applyFill="1" applyAlignment="1">
      <alignment horizontal="left"/>
    </xf>
    <xf numFmtId="0" fontId="2" fillId="0" borderId="5" xfId="0" applyFont="1" applyBorder="1" applyAlignment="1" applyProtection="1">
      <alignment vertical="top"/>
      <protection hidden="1"/>
    </xf>
    <xf numFmtId="0" fontId="0" fillId="0" borderId="4" xfId="0" applyBorder="1"/>
    <xf numFmtId="0" fontId="0" fillId="0" borderId="2" xfId="0" applyBorder="1"/>
    <xf numFmtId="0" fontId="3" fillId="0" borderId="5" xfId="0" applyFont="1" applyBorder="1" applyAlignment="1">
      <alignment horizontal="left" vertical="top"/>
    </xf>
    <xf numFmtId="0" fontId="0" fillId="0" borderId="1" xfId="0" applyBorder="1"/>
    <xf numFmtId="0" fontId="3" fillId="2" borderId="1" xfId="0" applyFont="1" applyFill="1" applyBorder="1" applyProtection="1">
      <protection hidden="1"/>
    </xf>
    <xf numFmtId="0" fontId="22" fillId="0" borderId="15" xfId="0" applyFont="1" applyBorder="1" applyAlignment="1" applyProtection="1">
      <alignment horizontal="left" vertical="top"/>
      <protection hidden="1"/>
    </xf>
    <xf numFmtId="0" fontId="22" fillId="0" borderId="1" xfId="0" applyFont="1" applyBorder="1" applyAlignment="1" applyProtection="1">
      <alignment horizontal="left" vertical="top"/>
      <protection hidden="1"/>
    </xf>
    <xf numFmtId="0" fontId="2" fillId="2" borderId="1" xfId="0" applyFont="1" applyFill="1" applyBorder="1" applyAlignment="1" applyProtection="1">
      <alignment horizontal="left" vertical="center"/>
      <protection hidden="1"/>
    </xf>
    <xf numFmtId="2" fontId="40" fillId="0" borderId="0" xfId="0" applyNumberFormat="1" applyFont="1"/>
    <xf numFmtId="2" fontId="41" fillId="2" borderId="16" xfId="0" applyNumberFormat="1" applyFont="1" applyFill="1" applyBorder="1" applyAlignment="1">
      <alignment horizontal="center" vertical="center"/>
    </xf>
    <xf numFmtId="0" fontId="50" fillId="0" borderId="0" xfId="0" applyFont="1" applyAlignment="1">
      <alignment vertical="center"/>
    </xf>
    <xf numFmtId="0" fontId="48" fillId="0" borderId="0" xfId="0" applyFont="1" applyAlignment="1">
      <alignment vertical="center"/>
    </xf>
    <xf numFmtId="0" fontId="2" fillId="0" borderId="15" xfId="0" applyFont="1" applyBorder="1" applyAlignment="1" applyProtection="1">
      <alignment vertical="top" wrapText="1"/>
      <protection hidden="1"/>
    </xf>
    <xf numFmtId="0" fontId="51" fillId="0" borderId="0" xfId="0" applyFont="1"/>
    <xf numFmtId="0" fontId="51" fillId="0" borderId="0" xfId="0" applyFont="1" applyAlignment="1">
      <alignment vertical="center"/>
    </xf>
    <xf numFmtId="0" fontId="52" fillId="0" borderId="0" xfId="0" applyFont="1" applyAlignment="1" applyProtection="1">
      <alignment vertical="center"/>
      <protection hidden="1"/>
    </xf>
    <xf numFmtId="0" fontId="40" fillId="0" borderId="0" xfId="0" applyFont="1" applyAlignment="1">
      <alignment vertical="center"/>
    </xf>
    <xf numFmtId="0" fontId="2" fillId="3" borderId="14" xfId="0" applyFont="1" applyFill="1" applyBorder="1" applyAlignment="1" applyProtection="1">
      <alignment vertical="center"/>
      <protection hidden="1"/>
    </xf>
    <xf numFmtId="0" fontId="2" fillId="0" borderId="0" xfId="0" applyFont="1" applyAlignment="1" applyProtection="1">
      <alignment horizontal="left" vertical="center"/>
      <protection locked="0" hidden="1"/>
    </xf>
    <xf numFmtId="0" fontId="2" fillId="0" borderId="1" xfId="0" applyFont="1" applyBorder="1" applyAlignment="1" applyProtection="1">
      <alignment vertical="top"/>
      <protection hidden="1"/>
    </xf>
    <xf numFmtId="165" fontId="41" fillId="2" borderId="1" xfId="0" applyNumberFormat="1" applyFont="1" applyFill="1" applyBorder="1" applyAlignment="1">
      <alignment horizontal="center" vertical="center"/>
    </xf>
    <xf numFmtId="0" fontId="41" fillId="2" borderId="1" xfId="0" applyFont="1" applyFill="1" applyBorder="1" applyAlignment="1" applyProtection="1">
      <alignment horizontal="center" vertical="top" wrapText="1"/>
      <protection hidden="1"/>
    </xf>
    <xf numFmtId="0" fontId="22" fillId="0" borderId="16" xfId="0" applyFont="1" applyBorder="1" applyAlignment="1" applyProtection="1">
      <alignment vertical="top" wrapText="1"/>
      <protection hidden="1"/>
    </xf>
    <xf numFmtId="0" fontId="22" fillId="0" borderId="17" xfId="0" applyFont="1" applyBorder="1" applyAlignment="1" applyProtection="1">
      <alignment vertical="top" wrapText="1"/>
      <protection hidden="1"/>
    </xf>
    <xf numFmtId="0" fontId="22" fillId="0" borderId="15" xfId="0" applyFont="1" applyBorder="1" applyAlignment="1" applyProtection="1">
      <alignment vertical="top" wrapText="1"/>
      <protection hidden="1"/>
    </xf>
    <xf numFmtId="0" fontId="22" fillId="0" borderId="5" xfId="0" applyFont="1" applyBorder="1" applyAlignment="1" applyProtection="1">
      <alignment vertical="top" wrapText="1"/>
      <protection hidden="1"/>
    </xf>
    <xf numFmtId="0" fontId="42" fillId="0" borderId="4" xfId="0" applyFont="1" applyBorder="1" applyAlignment="1" applyProtection="1">
      <alignment horizontal="center" vertical="top" wrapText="1"/>
      <protection hidden="1"/>
    </xf>
    <xf numFmtId="0" fontId="42" fillId="0" borderId="2" xfId="0" applyFont="1" applyBorder="1" applyAlignment="1" applyProtection="1">
      <alignment horizontal="center" vertical="top" wrapText="1"/>
      <protection hidden="1"/>
    </xf>
    <xf numFmtId="165" fontId="41" fillId="0" borderId="14" xfId="0" quotePrefix="1" applyNumberFormat="1" applyFont="1" applyBorder="1" applyAlignment="1">
      <alignment horizontal="center"/>
    </xf>
    <xf numFmtId="0" fontId="13" fillId="3" borderId="16" xfId="0" applyFont="1" applyFill="1" applyBorder="1" applyAlignment="1" applyProtection="1">
      <alignment horizontal="center" vertical="center"/>
      <protection hidden="1"/>
    </xf>
    <xf numFmtId="0" fontId="13" fillId="2" borderId="16" xfId="0" applyFont="1" applyFill="1" applyBorder="1" applyAlignment="1" applyProtection="1">
      <alignment vertical="center"/>
      <protection hidden="1"/>
    </xf>
    <xf numFmtId="0" fontId="13" fillId="2" borderId="1" xfId="0" applyFont="1" applyFill="1" applyBorder="1" applyAlignment="1" applyProtection="1">
      <alignment vertical="center"/>
      <protection hidden="1"/>
    </xf>
    <xf numFmtId="0" fontId="3" fillId="0" borderId="0" xfId="0" applyFont="1" applyAlignment="1" applyProtection="1">
      <alignment horizontal="right" vertical="center" indent="1"/>
      <protection hidden="1"/>
    </xf>
    <xf numFmtId="0" fontId="7" fillId="0" borderId="0" xfId="0" applyFont="1" applyProtection="1">
      <protection hidden="1"/>
    </xf>
    <xf numFmtId="0" fontId="40" fillId="0" borderId="1" xfId="0" applyFont="1" applyBorder="1" applyAlignment="1" applyProtection="1">
      <alignment horizontal="center" wrapText="1"/>
      <protection hidden="1"/>
    </xf>
    <xf numFmtId="0" fontId="40" fillId="0" borderId="0" xfId="0" applyFont="1" applyAlignment="1" applyProtection="1">
      <alignment horizontal="center" wrapText="1"/>
      <protection hidden="1"/>
    </xf>
    <xf numFmtId="0" fontId="40" fillId="0" borderId="0" xfId="0" applyFont="1" applyProtection="1">
      <protection hidden="1"/>
    </xf>
    <xf numFmtId="14" fontId="40" fillId="0" borderId="0" xfId="0" applyNumberFormat="1" applyFont="1" applyAlignment="1">
      <alignment wrapText="1"/>
    </xf>
    <xf numFmtId="49" fontId="8" fillId="4" borderId="19" xfId="0" applyNumberFormat="1" applyFont="1" applyFill="1" applyBorder="1" applyAlignment="1" applyProtection="1">
      <alignment horizontal="right"/>
      <protection locked="0" hidden="1"/>
    </xf>
    <xf numFmtId="49" fontId="8" fillId="4" borderId="20" xfId="0" applyNumberFormat="1" applyFont="1" applyFill="1" applyBorder="1" applyAlignment="1" applyProtection="1">
      <alignment horizontal="right"/>
      <protection locked="0" hidden="1"/>
    </xf>
    <xf numFmtId="49" fontId="8" fillId="4" borderId="21" xfId="0" applyNumberFormat="1" applyFont="1" applyFill="1" applyBorder="1" applyAlignment="1" applyProtection="1">
      <alignment horizontal="right"/>
      <protection locked="0" hidden="1"/>
    </xf>
    <xf numFmtId="0" fontId="10" fillId="0" borderId="0" xfId="0" applyFont="1" applyAlignment="1" applyProtection="1">
      <alignment horizontal="center" vertical="top" wrapText="1"/>
      <protection hidden="1"/>
    </xf>
    <xf numFmtId="0" fontId="4" fillId="4" borderId="5" xfId="0" applyFont="1" applyFill="1" applyBorder="1" applyAlignment="1" applyProtection="1">
      <alignment horizontal="left" vertical="center"/>
      <protection locked="0"/>
    </xf>
    <xf numFmtId="0" fontId="4" fillId="4" borderId="4" xfId="0" applyFont="1" applyFill="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8" fillId="4" borderId="5" xfId="0" applyFont="1" applyFill="1" applyBorder="1" applyAlignment="1" applyProtection="1">
      <alignment horizontal="left" vertical="center"/>
      <protection locked="0"/>
    </xf>
    <xf numFmtId="0" fontId="8" fillId="4" borderId="4"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10" fillId="0" borderId="0" xfId="0" applyFont="1" applyAlignment="1" applyProtection="1">
      <alignment horizontal="left" vertical="top" wrapText="1"/>
      <protection hidden="1"/>
    </xf>
    <xf numFmtId="0" fontId="8" fillId="4" borderId="5" xfId="0" applyFont="1" applyFill="1" applyBorder="1" applyAlignment="1" applyProtection="1">
      <alignment vertical="center"/>
      <protection locked="0"/>
    </xf>
    <xf numFmtId="0" fontId="0" fillId="0" borderId="4" xfId="0" applyBorder="1" applyAlignment="1" applyProtection="1">
      <alignment vertical="center"/>
      <protection locked="0"/>
    </xf>
    <xf numFmtId="0" fontId="0" fillId="0" borderId="2" xfId="0" applyBorder="1" applyAlignment="1" applyProtection="1">
      <alignment vertical="center"/>
      <protection locked="0"/>
    </xf>
    <xf numFmtId="0" fontId="4" fillId="3" borderId="5"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49" fontId="8" fillId="4" borderId="22" xfId="0" applyNumberFormat="1" applyFont="1" applyFill="1" applyBorder="1" applyAlignment="1" applyProtection="1">
      <alignment horizontal="right"/>
      <protection locked="0"/>
    </xf>
    <xf numFmtId="49" fontId="8" fillId="4" borderId="23" xfId="0" applyNumberFormat="1" applyFont="1" applyFill="1" applyBorder="1" applyAlignment="1" applyProtection="1">
      <alignment horizontal="right"/>
      <protection locked="0"/>
    </xf>
    <xf numFmtId="49" fontId="8" fillId="4" borderId="24" xfId="0" applyNumberFormat="1" applyFont="1" applyFill="1" applyBorder="1" applyAlignment="1" applyProtection="1">
      <alignment horizontal="right"/>
      <protection locked="0"/>
    </xf>
    <xf numFmtId="14" fontId="8" fillId="4" borderId="22" xfId="0" applyNumberFormat="1" applyFont="1" applyFill="1" applyBorder="1" applyAlignment="1" applyProtection="1">
      <alignment horizontal="right"/>
      <protection locked="0"/>
    </xf>
    <xf numFmtId="14" fontId="8" fillId="4" borderId="23" xfId="0" applyNumberFormat="1" applyFont="1" applyFill="1" applyBorder="1" applyAlignment="1" applyProtection="1">
      <alignment horizontal="right"/>
      <protection locked="0"/>
    </xf>
    <xf numFmtId="14" fontId="8" fillId="4" borderId="24" xfId="0" applyNumberFormat="1" applyFont="1" applyFill="1" applyBorder="1" applyAlignment="1" applyProtection="1">
      <alignment horizontal="right"/>
      <protection locked="0"/>
    </xf>
    <xf numFmtId="0" fontId="4" fillId="2" borderId="22" xfId="0" applyFont="1" applyFill="1" applyBorder="1" applyAlignment="1">
      <alignment horizontal="right"/>
    </xf>
    <xf numFmtId="0" fontId="4" fillId="2" borderId="23" xfId="0" applyFont="1" applyFill="1" applyBorder="1" applyAlignment="1">
      <alignment horizontal="right"/>
    </xf>
    <xf numFmtId="0" fontId="4" fillId="2" borderId="24" xfId="0" applyFont="1" applyFill="1" applyBorder="1" applyAlignment="1">
      <alignment horizontal="right"/>
    </xf>
    <xf numFmtId="49" fontId="4" fillId="4" borderId="25" xfId="0" applyNumberFormat="1" applyFont="1" applyFill="1" applyBorder="1" applyAlignment="1" applyProtection="1">
      <alignment horizontal="left" vertical="top" wrapText="1"/>
      <protection locked="0"/>
    </xf>
    <xf numFmtId="49" fontId="4" fillId="4" borderId="26" xfId="0" applyNumberFormat="1" applyFont="1" applyFill="1" applyBorder="1" applyAlignment="1" applyProtection="1">
      <alignment horizontal="left" vertical="top" wrapText="1"/>
      <protection locked="0"/>
    </xf>
    <xf numFmtId="49" fontId="4" fillId="4" borderId="27" xfId="0" applyNumberFormat="1" applyFont="1" applyFill="1" applyBorder="1" applyAlignment="1" applyProtection="1">
      <alignment horizontal="left" vertical="top" wrapText="1"/>
      <protection locked="0"/>
    </xf>
    <xf numFmtId="49" fontId="4" fillId="4" borderId="11" xfId="0" applyNumberFormat="1" applyFont="1" applyFill="1" applyBorder="1" applyAlignment="1" applyProtection="1">
      <alignment horizontal="left" vertical="top" wrapText="1"/>
      <protection locked="0"/>
    </xf>
    <xf numFmtId="49" fontId="4" fillId="4" borderId="12" xfId="0" applyNumberFormat="1" applyFont="1" applyFill="1" applyBorder="1" applyAlignment="1" applyProtection="1">
      <alignment horizontal="left" vertical="top" wrapText="1"/>
      <protection locked="0"/>
    </xf>
    <xf numFmtId="49" fontId="4" fillId="4" borderId="14" xfId="0" applyNumberFormat="1" applyFont="1" applyFill="1" applyBorder="1" applyAlignment="1" applyProtection="1">
      <alignment horizontal="left" vertical="top" wrapText="1"/>
      <protection locked="0"/>
    </xf>
    <xf numFmtId="0" fontId="4" fillId="4" borderId="5"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3" borderId="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0" borderId="0" xfId="0" applyFont="1" applyAlignment="1" applyProtection="1">
      <alignment horizontal="right" vertical="top" wrapText="1"/>
      <protection locked="0"/>
    </xf>
    <xf numFmtId="0" fontId="2" fillId="0" borderId="0" xfId="0" applyFont="1" applyAlignment="1" applyProtection="1">
      <alignment horizontal="left" vertical="center" wrapText="1"/>
      <protection hidden="1"/>
    </xf>
    <xf numFmtId="1" fontId="13" fillId="2" borderId="0" xfId="0" applyNumberFormat="1" applyFont="1" applyFill="1" applyAlignment="1" applyProtection="1">
      <alignment horizontal="left" vertical="center"/>
      <protection hidden="1"/>
    </xf>
    <xf numFmtId="49" fontId="2" fillId="4" borderId="12" xfId="0" applyNumberFormat="1" applyFont="1" applyFill="1" applyBorder="1" applyAlignment="1" applyProtection="1">
      <alignment horizontal="left" vertical="center"/>
      <protection locked="0" hidden="1"/>
    </xf>
    <xf numFmtId="0" fontId="2" fillId="4" borderId="12" xfId="0" applyFont="1" applyFill="1" applyBorder="1" applyAlignment="1" applyProtection="1">
      <alignment horizontal="left" vertical="center"/>
      <protection locked="0" hidden="1"/>
    </xf>
    <xf numFmtId="0" fontId="13" fillId="2" borderId="0" xfId="0" applyFont="1" applyFill="1" applyAlignment="1" applyProtection="1">
      <alignment horizontal="left" vertical="center"/>
      <protection hidden="1"/>
    </xf>
    <xf numFmtId="0" fontId="13" fillId="4" borderId="0" xfId="0" applyFont="1" applyFill="1" applyAlignment="1" applyProtection="1">
      <alignment horizontal="left" vertical="center"/>
      <protection hidden="1"/>
    </xf>
    <xf numFmtId="0" fontId="2" fillId="4" borderId="9" xfId="0" applyFont="1" applyFill="1" applyBorder="1" applyAlignment="1" applyProtection="1">
      <alignment horizontal="left" vertical="center"/>
      <protection locked="0"/>
    </xf>
    <xf numFmtId="0" fontId="2" fillId="4" borderId="3"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4" borderId="6"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0" fontId="13" fillId="2" borderId="44" xfId="0" applyFont="1" applyFill="1" applyBorder="1" applyAlignment="1" applyProtection="1">
      <alignment horizontal="left" vertical="center"/>
      <protection hidden="1"/>
    </xf>
    <xf numFmtId="0" fontId="0" fillId="0" borderId="45" xfId="0" applyBorder="1" applyAlignment="1">
      <alignment horizontal="left" vertical="center"/>
    </xf>
    <xf numFmtId="0" fontId="36" fillId="0" borderId="0" xfId="0" applyFont="1" applyAlignment="1" applyProtection="1">
      <alignment horizontal="left" vertical="center" wrapText="1"/>
      <protection hidden="1"/>
    </xf>
    <xf numFmtId="166" fontId="13" fillId="2" borderId="0" xfId="0" applyNumberFormat="1" applyFont="1" applyFill="1" applyAlignment="1" applyProtection="1">
      <alignment horizontal="left" vertical="center"/>
      <protection hidden="1"/>
    </xf>
    <xf numFmtId="0" fontId="2" fillId="7" borderId="0" xfId="0" applyFont="1" applyFill="1" applyAlignment="1" applyProtection="1">
      <alignment vertical="center"/>
      <protection locked="0" hidden="1"/>
    </xf>
    <xf numFmtId="4" fontId="11" fillId="4" borderId="5"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3" fillId="2" borderId="9" xfId="0" applyFont="1" applyFill="1" applyBorder="1" applyAlignment="1" applyProtection="1">
      <alignment vertical="center"/>
      <protection hidden="1"/>
    </xf>
    <xf numFmtId="0" fontId="0" fillId="0" borderId="3" xfId="0" applyBorder="1"/>
    <xf numFmtId="0" fontId="0" fillId="0" borderId="10" xfId="0" applyBorder="1"/>
    <xf numFmtId="0" fontId="13" fillId="4" borderId="0" xfId="0" applyFont="1" applyFill="1" applyAlignment="1" applyProtection="1">
      <alignment horizontal="right" vertical="center"/>
      <protection hidden="1"/>
    </xf>
    <xf numFmtId="14" fontId="13" fillId="4" borderId="0" xfId="0" applyNumberFormat="1" applyFont="1" applyFill="1" applyAlignment="1" applyProtection="1">
      <alignment horizontal="left" vertical="center"/>
      <protection hidden="1"/>
    </xf>
    <xf numFmtId="0" fontId="2" fillId="0" borderId="0" xfId="0" applyFont="1" applyAlignment="1" applyProtection="1">
      <alignment horizontal="left" vertical="center"/>
      <protection hidden="1"/>
    </xf>
    <xf numFmtId="0" fontId="13" fillId="2" borderId="30" xfId="0" applyFont="1" applyFill="1" applyBorder="1" applyAlignment="1" applyProtection="1">
      <alignment horizontal="left" vertical="center"/>
      <protection hidden="1"/>
    </xf>
    <xf numFmtId="0" fontId="0" fillId="0" borderId="31" xfId="0" applyBorder="1" applyAlignment="1">
      <alignment vertical="center"/>
    </xf>
    <xf numFmtId="0" fontId="13" fillId="2" borderId="29" xfId="0" applyFont="1" applyFill="1" applyBorder="1" applyAlignment="1" applyProtection="1">
      <alignment horizontal="left" vertical="center"/>
      <protection hidden="1"/>
    </xf>
    <xf numFmtId="0" fontId="0" fillId="0" borderId="24" xfId="0" applyBorder="1" applyAlignment="1">
      <alignment vertical="center"/>
    </xf>
    <xf numFmtId="0" fontId="0" fillId="0" borderId="46" xfId="0" applyBorder="1" applyAlignment="1">
      <alignment vertical="center"/>
    </xf>
    <xf numFmtId="0" fontId="13" fillId="2" borderId="28" xfId="0" applyFont="1" applyFill="1" applyBorder="1" applyAlignment="1" applyProtection="1">
      <alignment horizontal="left" vertical="center"/>
      <protection hidden="1"/>
    </xf>
    <xf numFmtId="0" fontId="0" fillId="0" borderId="20" xfId="0" applyBorder="1" applyAlignment="1">
      <alignment horizontal="left" vertical="center"/>
    </xf>
    <xf numFmtId="0" fontId="0" fillId="0" borderId="23" xfId="0" applyBorder="1" applyAlignment="1">
      <alignment horizontal="left" vertical="center"/>
    </xf>
    <xf numFmtId="0" fontId="0" fillId="0" borderId="12" xfId="0" applyBorder="1" applyAlignment="1" applyProtection="1">
      <alignment horizontal="left" vertical="center"/>
      <protection locked="0"/>
    </xf>
    <xf numFmtId="0" fontId="13" fillId="2" borderId="5" xfId="0" applyFont="1" applyFill="1" applyBorder="1" applyAlignment="1" applyProtection="1">
      <alignment vertical="center"/>
      <protection hidden="1"/>
    </xf>
    <xf numFmtId="0" fontId="0" fillId="0" borderId="4" xfId="0" applyBorder="1"/>
    <xf numFmtId="0" fontId="0" fillId="0" borderId="2" xfId="0" applyBorder="1"/>
    <xf numFmtId="0" fontId="2" fillId="3" borderId="5" xfId="0" applyFont="1" applyFill="1" applyBorder="1" applyAlignment="1" applyProtection="1">
      <alignment horizontal="center"/>
      <protection hidden="1"/>
    </xf>
    <xf numFmtId="0" fontId="0" fillId="0" borderId="4" xfId="0" applyBorder="1" applyAlignment="1">
      <alignment horizontal="center"/>
    </xf>
    <xf numFmtId="0" fontId="0" fillId="0" borderId="2" xfId="0" applyBorder="1" applyAlignment="1">
      <alignment horizontal="center"/>
    </xf>
    <xf numFmtId="0" fontId="2" fillId="3" borderId="4" xfId="0" applyFont="1" applyFill="1" applyBorder="1" applyAlignment="1" applyProtection="1">
      <alignment horizontal="center"/>
      <protection hidden="1"/>
    </xf>
    <xf numFmtId="0" fontId="31" fillId="0" borderId="0" xfId="0" applyFont="1" applyAlignment="1" applyProtection="1">
      <alignment horizontal="center"/>
      <protection hidden="1"/>
    </xf>
    <xf numFmtId="0" fontId="34" fillId="0" borderId="0" xfId="0" applyFont="1" applyAlignment="1" applyProtection="1">
      <alignment horizontal="center" wrapText="1"/>
      <protection hidden="1"/>
    </xf>
    <xf numFmtId="0" fontId="34" fillId="0" borderId="0" xfId="0" applyFont="1" applyAlignment="1" applyProtection="1">
      <alignment horizontal="center" shrinkToFit="1"/>
      <protection hidden="1"/>
    </xf>
    <xf numFmtId="0" fontId="29"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13" fillId="0" borderId="0" xfId="0" applyFont="1" applyAlignment="1" applyProtection="1">
      <alignment horizontal="right" wrapText="1"/>
      <protection hidden="1"/>
    </xf>
    <xf numFmtId="164" fontId="13" fillId="0" borderId="0" xfId="0" applyNumberFormat="1" applyFont="1" applyAlignment="1" applyProtection="1">
      <alignment horizontal="right" vertical="center"/>
      <protection hidden="1"/>
    </xf>
    <xf numFmtId="164" fontId="13" fillId="0" borderId="0" xfId="0" applyNumberFormat="1" applyFont="1" applyAlignment="1">
      <alignment horizontal="right" vertical="center"/>
    </xf>
    <xf numFmtId="0" fontId="27" fillId="0" borderId="0" xfId="0" applyFont="1" applyAlignment="1" applyProtection="1">
      <alignment horizontal="center" vertical="center"/>
      <protection hidden="1"/>
    </xf>
    <xf numFmtId="0" fontId="29" fillId="0" borderId="0" xfId="0" applyFont="1" applyAlignment="1" applyProtection="1">
      <alignment horizontal="center" vertical="center"/>
      <protection hidden="1"/>
    </xf>
    <xf numFmtId="166" fontId="28" fillId="0" borderId="0" xfId="0" applyNumberFormat="1" applyFont="1" applyAlignment="1" applyProtection="1">
      <alignment horizontal="center" vertical="center" wrapText="1"/>
      <protection hidden="1"/>
    </xf>
    <xf numFmtId="0" fontId="29" fillId="0" borderId="0" xfId="0" applyFont="1" applyAlignment="1" applyProtection="1">
      <alignment horizontal="left" vertical="center"/>
      <protection hidden="1"/>
    </xf>
    <xf numFmtId="166" fontId="28" fillId="0" borderId="0" xfId="0" applyNumberFormat="1" applyFont="1" applyAlignment="1" applyProtection="1">
      <alignment horizontal="left" vertical="center" wrapText="1"/>
      <protection hidden="1"/>
    </xf>
    <xf numFmtId="0" fontId="32" fillId="0" borderId="0" xfId="0" applyFont="1" applyAlignment="1" applyProtection="1">
      <alignment horizontal="center" vertical="center"/>
      <protection hidden="1"/>
    </xf>
    <xf numFmtId="0" fontId="33" fillId="0" borderId="0" xfId="0" applyFont="1" applyAlignment="1" applyProtection="1">
      <alignment horizontal="center" vertical="center"/>
      <protection locked="0" hidden="1"/>
    </xf>
    <xf numFmtId="0" fontId="20" fillId="0" borderId="0" xfId="0" applyFont="1" applyAlignment="1" applyProtection="1">
      <alignment horizontal="left" vertical="top" wrapText="1"/>
      <protection hidden="1"/>
    </xf>
    <xf numFmtId="0" fontId="24"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53" fillId="0" borderId="0" xfId="0" applyFont="1" applyAlignment="1" applyProtection="1">
      <alignment horizontal="left" vertical="top" wrapText="1"/>
      <protection hidden="1"/>
    </xf>
    <xf numFmtId="14" fontId="3" fillId="2" borderId="0" xfId="0" applyNumberFormat="1" applyFont="1" applyFill="1" applyAlignment="1" applyProtection="1">
      <alignment horizontal="left" vertical="center"/>
      <protection hidden="1"/>
    </xf>
    <xf numFmtId="0" fontId="0" fillId="0" borderId="0" xfId="0" applyAlignment="1">
      <alignment horizontal="left" vertical="center"/>
    </xf>
    <xf numFmtId="49" fontId="2" fillId="0" borderId="16" xfId="0" applyNumberFormat="1" applyFont="1" applyBorder="1" applyAlignment="1" applyProtection="1">
      <alignment vertical="top" wrapText="1"/>
      <protection hidden="1"/>
    </xf>
    <xf numFmtId="0" fontId="0" fillId="0" borderId="15" xfId="0" applyBorder="1" applyAlignment="1">
      <alignment vertical="top" wrapText="1"/>
    </xf>
    <xf numFmtId="0" fontId="2" fillId="0" borderId="16" xfId="0" applyFont="1" applyBorder="1" applyAlignment="1" applyProtection="1">
      <alignment horizontal="center" vertical="center" wrapText="1"/>
      <protection locked="0"/>
    </xf>
    <xf numFmtId="0" fontId="0" fillId="0" borderId="15" xfId="0" applyBorder="1" applyAlignment="1">
      <alignment horizontal="center" vertical="center" wrapText="1"/>
    </xf>
    <xf numFmtId="165" fontId="41" fillId="2" borderId="16" xfId="0" quotePrefix="1" applyNumberFormat="1" applyFont="1" applyFill="1" applyBorder="1" applyAlignment="1">
      <alignment horizontal="center"/>
    </xf>
    <xf numFmtId="0" fontId="0" fillId="0" borderId="15" xfId="0" applyBorder="1" applyAlignment="1">
      <alignment horizontal="center"/>
    </xf>
    <xf numFmtId="14" fontId="3" fillId="2" borderId="0" xfId="0" applyNumberFormat="1" applyFont="1" applyFill="1" applyAlignment="1">
      <alignment horizontal="left" vertical="center"/>
    </xf>
    <xf numFmtId="0" fontId="2" fillId="0" borderId="0" xfId="0" applyFont="1" applyAlignment="1" applyProtection="1">
      <alignment horizontal="left"/>
      <protection hidden="1"/>
    </xf>
    <xf numFmtId="0" fontId="3" fillId="0" borderId="5" xfId="0" applyFont="1" applyBorder="1" applyAlignment="1">
      <alignment horizontal="left" vertical="top"/>
    </xf>
    <xf numFmtId="0" fontId="3" fillId="0" borderId="4" xfId="0" applyFont="1" applyBorder="1"/>
    <xf numFmtId="0" fontId="3" fillId="0" borderId="2" xfId="0" applyFont="1" applyBorder="1"/>
    <xf numFmtId="0" fontId="42" fillId="0" borderId="0" xfId="0" applyFont="1" applyAlignment="1" applyProtection="1">
      <alignment vertical="top" wrapText="1"/>
      <protection hidden="1"/>
    </xf>
    <xf numFmtId="0" fontId="0" fillId="0" borderId="0" xfId="0"/>
    <xf numFmtId="0" fontId="2" fillId="2" borderId="17" xfId="0" applyFont="1" applyFill="1" applyBorder="1" applyAlignment="1" applyProtection="1">
      <alignment horizontal="left" vertical="top" wrapText="1"/>
      <protection hidden="1"/>
    </xf>
    <xf numFmtId="0" fontId="0" fillId="0" borderId="15" xfId="0" applyBorder="1" applyAlignment="1">
      <alignment horizontal="left" vertical="top" wrapText="1"/>
    </xf>
    <xf numFmtId="0" fontId="2" fillId="0" borderId="5" xfId="0" applyFont="1" applyBorder="1" applyAlignment="1" applyProtection="1">
      <alignment vertical="top"/>
      <protection hidden="1"/>
    </xf>
    <xf numFmtId="0" fontId="42" fillId="0" borderId="0" xfId="0" applyFont="1" applyAlignment="1" applyProtection="1">
      <alignment wrapText="1"/>
      <protection hidden="1"/>
    </xf>
    <xf numFmtId="0" fontId="2" fillId="0" borderId="3" xfId="0" applyFont="1" applyBorder="1" applyAlignment="1" applyProtection="1">
      <alignment horizontal="left" wrapText="1"/>
      <protection hidden="1"/>
    </xf>
    <xf numFmtId="0" fontId="0" fillId="0" borderId="3" xfId="0" applyBorder="1" applyAlignment="1">
      <alignment horizontal="left"/>
    </xf>
    <xf numFmtId="0" fontId="0" fillId="0" borderId="36" xfId="0" applyBorder="1" applyAlignment="1">
      <alignment vertical="center" wrapText="1"/>
    </xf>
    <xf numFmtId="0" fontId="0" fillId="0" borderId="40" xfId="0" applyBorder="1" applyAlignment="1">
      <alignment vertical="center" wrapText="1"/>
    </xf>
    <xf numFmtId="165" fontId="45" fillId="0" borderId="36" xfId="0" applyNumberFormat="1" applyFont="1" applyBorder="1" applyAlignment="1">
      <alignment horizontal="center" vertical="center"/>
    </xf>
    <xf numFmtId="0" fontId="45" fillId="0" borderId="40" xfId="0" applyFont="1" applyBorder="1" applyAlignment="1">
      <alignment horizontal="center" vertical="center"/>
    </xf>
    <xf numFmtId="49" fontId="46" fillId="0" borderId="0" xfId="0" applyNumberFormat="1" applyFont="1" applyAlignment="1">
      <alignment wrapText="1"/>
    </xf>
    <xf numFmtId="0" fontId="40" fillId="0" borderId="0" xfId="0" applyFont="1" applyAlignment="1">
      <alignment wrapText="1"/>
    </xf>
    <xf numFmtId="0" fontId="40" fillId="0" borderId="0" xfId="0" applyFont="1"/>
    <xf numFmtId="0" fontId="0" fillId="0" borderId="0" xfId="0" applyAlignment="1">
      <alignment horizontal="left" wrapText="1"/>
    </xf>
    <xf numFmtId="0" fontId="40" fillId="0" borderId="0" xfId="0" applyFont="1" applyAlignment="1">
      <alignment horizontal="left" wrapText="1"/>
    </xf>
    <xf numFmtId="0" fontId="0" fillId="0" borderId="0" xfId="0" applyAlignment="1">
      <alignment horizontal="left"/>
    </xf>
  </cellXfs>
  <cellStyles count="1">
    <cellStyle name="Standard" xfId="0" builtinId="0"/>
  </cellStyles>
  <dxfs count="14">
    <dxf>
      <font>
        <condense val="0"/>
        <extend val="0"/>
        <color indexed="22"/>
      </font>
    </dxf>
    <dxf>
      <fill>
        <patternFill>
          <bgColor indexed="26"/>
        </patternFill>
      </fill>
    </dxf>
    <dxf>
      <fill>
        <patternFill>
          <bgColor indexed="43"/>
        </patternFill>
      </fill>
    </dxf>
    <dxf>
      <fill>
        <patternFill>
          <bgColor indexed="43"/>
        </patternFill>
      </fill>
    </dxf>
    <dxf>
      <fill>
        <patternFill>
          <bgColor indexed="43"/>
        </patternFill>
      </fill>
    </dxf>
    <dxf>
      <font>
        <condense val="0"/>
        <extend val="0"/>
        <color indexed="22"/>
      </font>
    </dxf>
    <dxf>
      <fill>
        <patternFill>
          <bgColor indexed="26"/>
        </patternFill>
      </fill>
    </dxf>
    <dxf>
      <fill>
        <patternFill>
          <bgColor indexed="43"/>
        </patternFill>
      </fill>
    </dxf>
    <dxf>
      <fill>
        <patternFill>
          <bgColor indexed="43"/>
        </patternFill>
      </fill>
    </dxf>
    <dxf>
      <fill>
        <patternFill>
          <bgColor indexed="42"/>
        </patternFill>
      </fill>
      <border>
        <left style="hair">
          <color indexed="64"/>
        </left>
        <right style="thin">
          <color indexed="64"/>
        </right>
        <top style="hair">
          <color indexed="64"/>
        </top>
        <bottom style="hair">
          <color indexed="64"/>
        </bottom>
      </border>
    </dxf>
    <dxf>
      <fill>
        <patternFill>
          <bgColor indexed="16"/>
        </patternFill>
      </fill>
      <border>
        <left style="hair">
          <color indexed="64"/>
        </left>
        <right style="thin">
          <color indexed="64"/>
        </right>
        <top style="hair">
          <color indexed="64"/>
        </top>
        <bottom style="hair">
          <color indexed="64"/>
        </bottom>
      </border>
    </dxf>
    <dxf>
      <fill>
        <patternFill>
          <bgColor indexed="42"/>
        </patternFill>
      </fill>
      <border>
        <left style="hair">
          <color indexed="64"/>
        </left>
        <right style="thin">
          <color indexed="64"/>
        </right>
        <top style="hair">
          <color indexed="64"/>
        </top>
        <bottom style="hair">
          <color indexed="64"/>
        </bottom>
      </border>
    </dxf>
    <dxf>
      <fill>
        <patternFill>
          <bgColor indexed="16"/>
        </patternFill>
      </fill>
      <border>
        <left style="hair">
          <color indexed="64"/>
        </left>
        <right style="thin">
          <color indexed="64"/>
        </right>
        <top style="hair">
          <color indexed="64"/>
        </top>
        <bottom style="hair">
          <color indexed="64"/>
        </bottom>
      </border>
    </dxf>
    <dxf>
      <fill>
        <patternFill>
          <bgColor indexed="1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4F"/>
      <rgbColor rgb="00FF00FF"/>
      <rgbColor rgb="0000FFFF"/>
      <rgbColor rgb="00FFB9B9"/>
      <rgbColor rgb="00008000"/>
      <rgbColor rgb="00000080"/>
      <rgbColor rgb="00808000"/>
      <rgbColor rgb="00800080"/>
      <rgbColor rgb="00008080"/>
      <rgbColor rgb="00C0C0C0"/>
      <rgbColor rgb="00808080"/>
      <rgbColor rgb="009999FF"/>
      <rgbColor rgb="00993366"/>
      <rgbColor rgb="00FFFF99"/>
      <rgbColor rgb="00CCFFFF"/>
      <rgbColor rgb="00660066"/>
      <rgbColor rgb="00FF8080"/>
      <rgbColor rgb="000066CC"/>
      <rgbColor rgb="00CCCCFF"/>
      <rgbColor rgb="00000080"/>
      <rgbColor rgb="00FFCC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AEAEA"/>
      <rgbColor rgb="003366FF"/>
      <rgbColor rgb="0033CCCC"/>
      <rgbColor rgb="0099CC00"/>
      <rgbColor rgb="00FFCC00"/>
      <rgbColor rgb="00FF9900"/>
      <rgbColor rgb="00FF6600"/>
      <rgbColor rgb="00666699"/>
      <rgbColor rgb="00969696"/>
      <rgbColor rgb="00D1E8FF"/>
      <rgbColor rgb="00339966"/>
      <rgbColor rgb="00003300"/>
      <rgbColor rgb="00333300"/>
      <rgbColor rgb="00993300"/>
      <rgbColor rgb="00993366"/>
      <rgbColor rgb="00333399"/>
      <rgbColor rgb="00DDDDDD"/>
    </indexedColors>
    <mruColors>
      <color rgb="FFFFFF66"/>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Spin" dx="15" inc="15" max="1000" min="15" page="10" val="15"/>
</file>

<file path=xl/ctrlProps/ctrlProp3.xml><?xml version="1.0" encoding="utf-8"?>
<formControlPr xmlns="http://schemas.microsoft.com/office/spreadsheetml/2009/9/main" objectType="Spin" dx="15" inc="15" max="1000" min="15" page="10" val="15"/>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0</xdr:rowOff>
    </xdr:from>
    <xdr:to>
      <xdr:col>3</xdr:col>
      <xdr:colOff>47625</xdr:colOff>
      <xdr:row>0</xdr:row>
      <xdr:rowOff>728663</xdr:rowOff>
    </xdr:to>
    <xdr:pic>
      <xdr:nvPicPr>
        <xdr:cNvPr id="96879" name="Grafik 2" descr="SwissIceSkating_Logo_cmyk.jpg">
          <a:extLst>
            <a:ext uri="{FF2B5EF4-FFF2-40B4-BE49-F238E27FC236}">
              <a16:creationId xmlns:a16="http://schemas.microsoft.com/office/drawing/2014/main" id="{00000000-0008-0000-0000-00006F7A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0"/>
          <a:ext cx="31813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42</xdr:row>
          <xdr:rowOff>0</xdr:rowOff>
        </xdr:to>
        <xdr:sp macro="" textlink="">
          <xdr:nvSpPr>
            <xdr:cNvPr id="96790" name="Button 1558" hidden="1">
              <a:extLst>
                <a:ext uri="{63B3BB69-23CF-44E3-9099-C40C66FF867C}">
                  <a14:compatExt spid="_x0000_s96790"/>
                </a:ext>
                <a:ext uri="{FF2B5EF4-FFF2-40B4-BE49-F238E27FC236}">
                  <a16:creationId xmlns:a16="http://schemas.microsoft.com/office/drawing/2014/main" id="{00000000-0008-0000-0000-0000167A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e-CH" sz="1000" b="0" i="0" u="none" strike="noStrike" baseline="0">
                  <a:solidFill>
                    <a:srgbClr val="333399"/>
                  </a:solidFill>
                  <a:latin typeface="Arial"/>
                  <a:cs typeface="Arial"/>
                </a:rPr>
                <a:t>schützen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11</xdr:col>
      <xdr:colOff>52917</xdr:colOff>
      <xdr:row>0</xdr:row>
      <xdr:rowOff>63500</xdr:rowOff>
    </xdr:from>
    <xdr:to>
      <xdr:col>16</xdr:col>
      <xdr:colOff>553508</xdr:colOff>
      <xdr:row>0</xdr:row>
      <xdr:rowOff>787400</xdr:rowOff>
    </xdr:to>
    <xdr:pic>
      <xdr:nvPicPr>
        <xdr:cNvPr id="57216" name="Grafik 2" descr="SwissIceSkating_Logo_cmyk.jpg">
          <a:extLst>
            <a:ext uri="{FF2B5EF4-FFF2-40B4-BE49-F238E27FC236}">
              <a16:creationId xmlns:a16="http://schemas.microsoft.com/office/drawing/2014/main" id="{00000000-0008-0000-0100-000080D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96417" y="63500"/>
          <a:ext cx="3188758"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45720</xdr:colOff>
          <xdr:row>44</xdr:row>
          <xdr:rowOff>0</xdr:rowOff>
        </xdr:from>
        <xdr:to>
          <xdr:col>17</xdr:col>
          <xdr:colOff>236220</xdr:colOff>
          <xdr:row>44</xdr:row>
          <xdr:rowOff>0</xdr:rowOff>
        </xdr:to>
        <xdr:sp macro="" textlink="">
          <xdr:nvSpPr>
            <xdr:cNvPr id="141313" name="Spinner 1" hidden="1">
              <a:extLst>
                <a:ext uri="{63B3BB69-23CF-44E3-9099-C40C66FF867C}">
                  <a14:compatExt spid="_x0000_s141313"/>
                </a:ext>
                <a:ext uri="{FF2B5EF4-FFF2-40B4-BE49-F238E27FC236}">
                  <a16:creationId xmlns:a16="http://schemas.microsoft.com/office/drawing/2014/main" id="{00000000-0008-0000-0200-00000128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45720</xdr:colOff>
          <xdr:row>43</xdr:row>
          <xdr:rowOff>0</xdr:rowOff>
        </xdr:from>
        <xdr:to>
          <xdr:col>17</xdr:col>
          <xdr:colOff>236220</xdr:colOff>
          <xdr:row>43</xdr:row>
          <xdr:rowOff>0</xdr:rowOff>
        </xdr:to>
        <xdr:sp macro="" textlink="">
          <xdr:nvSpPr>
            <xdr:cNvPr id="144385" name="Spinner 1" hidden="1">
              <a:extLst>
                <a:ext uri="{63B3BB69-23CF-44E3-9099-C40C66FF867C}">
                  <a14:compatExt spid="_x0000_s144385"/>
                </a:ext>
                <a:ext uri="{FF2B5EF4-FFF2-40B4-BE49-F238E27FC236}">
                  <a16:creationId xmlns:a16="http://schemas.microsoft.com/office/drawing/2014/main" id="{00000000-0008-0000-0300-00000134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8</xdr:col>
      <xdr:colOff>355600</xdr:colOff>
      <xdr:row>1</xdr:row>
      <xdr:rowOff>38100</xdr:rowOff>
    </xdr:from>
    <xdr:to>
      <xdr:col>14</xdr:col>
      <xdr:colOff>597408</xdr:colOff>
      <xdr:row>5</xdr:row>
      <xdr:rowOff>1524</xdr:rowOff>
    </xdr:to>
    <xdr:pic>
      <xdr:nvPicPr>
        <xdr:cNvPr id="6" name="Grafik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6100" y="469900"/>
          <a:ext cx="3188208" cy="7254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146050</xdr:colOff>
      <xdr:row>0</xdr:row>
      <xdr:rowOff>47625</xdr:rowOff>
    </xdr:from>
    <xdr:to>
      <xdr:col>34</xdr:col>
      <xdr:colOff>584200</xdr:colOff>
      <xdr:row>3</xdr:row>
      <xdr:rowOff>47625</xdr:rowOff>
    </xdr:to>
    <xdr:pic>
      <xdr:nvPicPr>
        <xdr:cNvPr id="138369" name="Grafik 5" descr="SwissIceSkating_Logo_cmyk.jpg">
          <a:extLst>
            <a:ext uri="{FF2B5EF4-FFF2-40B4-BE49-F238E27FC236}">
              <a16:creationId xmlns:a16="http://schemas.microsoft.com/office/drawing/2014/main" id="{00000000-0008-0000-0400-0000811C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88675" y="4762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228600</xdr:colOff>
      <xdr:row>0</xdr:row>
      <xdr:rowOff>47625</xdr:rowOff>
    </xdr:from>
    <xdr:to>
      <xdr:col>17</xdr:col>
      <xdr:colOff>657225</xdr:colOff>
      <xdr:row>3</xdr:row>
      <xdr:rowOff>47625</xdr:rowOff>
    </xdr:to>
    <xdr:pic>
      <xdr:nvPicPr>
        <xdr:cNvPr id="138370" name="Grafik 6" descr="SwissIceSkating_Logo_cmyk.jpg">
          <a:extLst>
            <a:ext uri="{FF2B5EF4-FFF2-40B4-BE49-F238E27FC236}">
              <a16:creationId xmlns:a16="http://schemas.microsoft.com/office/drawing/2014/main" id="{00000000-0008-0000-0400-0000821C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913350" y="47625"/>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49</xdr:col>
      <xdr:colOff>161925</xdr:colOff>
      <xdr:row>0</xdr:row>
      <xdr:rowOff>47625</xdr:rowOff>
    </xdr:from>
    <xdr:to>
      <xdr:col>51</xdr:col>
      <xdr:colOff>600075</xdr:colOff>
      <xdr:row>3</xdr:row>
      <xdr:rowOff>47625</xdr:rowOff>
    </xdr:to>
    <xdr:pic>
      <xdr:nvPicPr>
        <xdr:cNvPr id="138371" name="Grafik 7" descr="SwissIceSkating_Logo_cmyk.jpg">
          <a:extLst>
            <a:ext uri="{FF2B5EF4-FFF2-40B4-BE49-F238E27FC236}">
              <a16:creationId xmlns:a16="http://schemas.microsoft.com/office/drawing/2014/main" id="{00000000-0008-0000-0400-0000831C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62425" y="4762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66</xdr:col>
      <xdr:colOff>219075</xdr:colOff>
      <xdr:row>0</xdr:row>
      <xdr:rowOff>47625</xdr:rowOff>
    </xdr:from>
    <xdr:to>
      <xdr:col>68</xdr:col>
      <xdr:colOff>647700</xdr:colOff>
      <xdr:row>3</xdr:row>
      <xdr:rowOff>47625</xdr:rowOff>
    </xdr:to>
    <xdr:pic>
      <xdr:nvPicPr>
        <xdr:cNvPr id="138372" name="Grafik 8" descr="SwissIceSkating_Logo_cmyk.jpg">
          <a:extLst>
            <a:ext uri="{FF2B5EF4-FFF2-40B4-BE49-F238E27FC236}">
              <a16:creationId xmlns:a16="http://schemas.microsoft.com/office/drawing/2014/main" id="{00000000-0008-0000-0400-0000841C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77450" y="47625"/>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32</xdr:col>
      <xdr:colOff>161925</xdr:colOff>
      <xdr:row>31</xdr:row>
      <xdr:rowOff>47625</xdr:rowOff>
    </xdr:from>
    <xdr:ext cx="3200400" cy="730250"/>
    <xdr:pic>
      <xdr:nvPicPr>
        <xdr:cNvPr id="14" name="Grafik 5" descr="SwissIceSkating_Logo_cmyk.jpg">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04550" y="966787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228600</xdr:colOff>
      <xdr:row>31</xdr:row>
      <xdr:rowOff>95250</xdr:rowOff>
    </xdr:from>
    <xdr:ext cx="3190875" cy="730250"/>
    <xdr:pic>
      <xdr:nvPicPr>
        <xdr:cNvPr id="15" name="Grafik 6" descr="SwissIceSkating_Logo_cmyk.jpg">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913350" y="9366250"/>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161925</xdr:colOff>
      <xdr:row>31</xdr:row>
      <xdr:rowOff>63500</xdr:rowOff>
    </xdr:from>
    <xdr:ext cx="3200400" cy="730250"/>
    <xdr:pic>
      <xdr:nvPicPr>
        <xdr:cNvPr id="16" name="Grafik 7" descr="SwissIceSkating_Logo_cmyk.jpg">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62425" y="9683750"/>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66</xdr:col>
      <xdr:colOff>219075</xdr:colOff>
      <xdr:row>31</xdr:row>
      <xdr:rowOff>63500</xdr:rowOff>
    </xdr:from>
    <xdr:ext cx="3190875" cy="730250"/>
    <xdr:pic>
      <xdr:nvPicPr>
        <xdr:cNvPr id="17" name="Grafik 8" descr="SwissIceSkating_Logo_cmyk.jpg">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77450" y="9683750"/>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32</xdr:col>
      <xdr:colOff>146050</xdr:colOff>
      <xdr:row>69</xdr:row>
      <xdr:rowOff>47625</xdr:rowOff>
    </xdr:from>
    <xdr:ext cx="3200400" cy="730250"/>
    <xdr:pic>
      <xdr:nvPicPr>
        <xdr:cNvPr id="10" name="Grafik 5" descr="SwissIceSkating_Logo_cmyk.jpg">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277550" y="4762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228600</xdr:colOff>
      <xdr:row>69</xdr:row>
      <xdr:rowOff>47625</xdr:rowOff>
    </xdr:from>
    <xdr:ext cx="3190875" cy="730250"/>
    <xdr:pic>
      <xdr:nvPicPr>
        <xdr:cNvPr id="11" name="Grafik 6" descr="SwissIceSkating_Logo_cmyk.jpg">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02225" y="47625"/>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161925</xdr:colOff>
      <xdr:row>69</xdr:row>
      <xdr:rowOff>47625</xdr:rowOff>
    </xdr:from>
    <xdr:ext cx="3200400" cy="730250"/>
    <xdr:pic>
      <xdr:nvPicPr>
        <xdr:cNvPr id="12" name="Grafik 7" descr="SwissIceSkating_Logo_cmyk.jpg">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51300" y="4762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66</xdr:col>
      <xdr:colOff>219075</xdr:colOff>
      <xdr:row>69</xdr:row>
      <xdr:rowOff>47625</xdr:rowOff>
    </xdr:from>
    <xdr:ext cx="3190875" cy="730250"/>
    <xdr:pic>
      <xdr:nvPicPr>
        <xdr:cNvPr id="13" name="Grafik 8" descr="SwissIceSkating_Logo_cmyk.jpg">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66325" y="47625"/>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32</xdr:col>
      <xdr:colOff>161925</xdr:colOff>
      <xdr:row>100</xdr:row>
      <xdr:rowOff>47625</xdr:rowOff>
    </xdr:from>
    <xdr:ext cx="3200400" cy="730250"/>
    <xdr:pic>
      <xdr:nvPicPr>
        <xdr:cNvPr id="18" name="Grafik 5" descr="SwissIceSkating_Logo_cmyk.jpg">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293425" y="966787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228600</xdr:colOff>
      <xdr:row>100</xdr:row>
      <xdr:rowOff>95250</xdr:rowOff>
    </xdr:from>
    <xdr:ext cx="3190875" cy="730250"/>
    <xdr:pic>
      <xdr:nvPicPr>
        <xdr:cNvPr id="19" name="Grafik 6" descr="SwissIceSkating_Logo_cmyk.jpg">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02225" y="9715500"/>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161925</xdr:colOff>
      <xdr:row>100</xdr:row>
      <xdr:rowOff>63500</xdr:rowOff>
    </xdr:from>
    <xdr:ext cx="3200400" cy="730250"/>
    <xdr:pic>
      <xdr:nvPicPr>
        <xdr:cNvPr id="20" name="Grafik 7" descr="SwissIceSkating_Logo_cmyk.jpg">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51300" y="9683750"/>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66</xdr:col>
      <xdr:colOff>219075</xdr:colOff>
      <xdr:row>100</xdr:row>
      <xdr:rowOff>63500</xdr:rowOff>
    </xdr:from>
    <xdr:ext cx="3190875" cy="730250"/>
    <xdr:pic>
      <xdr:nvPicPr>
        <xdr:cNvPr id="21" name="Grafik 8" descr="SwissIceSkating_Logo_cmyk.jpg">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66325" y="9683750"/>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32</xdr:col>
      <xdr:colOff>146050</xdr:colOff>
      <xdr:row>138</xdr:row>
      <xdr:rowOff>47625</xdr:rowOff>
    </xdr:from>
    <xdr:ext cx="3200400" cy="730250"/>
    <xdr:pic>
      <xdr:nvPicPr>
        <xdr:cNvPr id="22" name="Grafik 5" descr="SwissIceSkating_Logo_cmyk.jpg">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277550" y="4762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228600</xdr:colOff>
      <xdr:row>138</xdr:row>
      <xdr:rowOff>47625</xdr:rowOff>
    </xdr:from>
    <xdr:ext cx="3190875" cy="730250"/>
    <xdr:pic>
      <xdr:nvPicPr>
        <xdr:cNvPr id="23" name="Grafik 6" descr="SwissIceSkating_Logo_cmyk.jpg">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02225" y="47625"/>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161925</xdr:colOff>
      <xdr:row>138</xdr:row>
      <xdr:rowOff>47625</xdr:rowOff>
    </xdr:from>
    <xdr:ext cx="3200400" cy="730250"/>
    <xdr:pic>
      <xdr:nvPicPr>
        <xdr:cNvPr id="24" name="Grafik 7" descr="SwissIceSkating_Logo_cmyk.jpg">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51300" y="4762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66</xdr:col>
      <xdr:colOff>219075</xdr:colOff>
      <xdr:row>138</xdr:row>
      <xdr:rowOff>47625</xdr:rowOff>
    </xdr:from>
    <xdr:ext cx="3190875" cy="730250"/>
    <xdr:pic>
      <xdr:nvPicPr>
        <xdr:cNvPr id="25" name="Grafik 8" descr="SwissIceSkating_Logo_cmyk.jpg">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66325" y="47625"/>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32</xdr:col>
      <xdr:colOff>161925</xdr:colOff>
      <xdr:row>169</xdr:row>
      <xdr:rowOff>47625</xdr:rowOff>
    </xdr:from>
    <xdr:ext cx="3200400" cy="730250"/>
    <xdr:pic>
      <xdr:nvPicPr>
        <xdr:cNvPr id="26" name="Grafik 5" descr="SwissIceSkating_Logo_cmyk.jpg">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293425" y="9667875"/>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228600</xdr:colOff>
      <xdr:row>169</xdr:row>
      <xdr:rowOff>95250</xdr:rowOff>
    </xdr:from>
    <xdr:ext cx="3190875" cy="730250"/>
    <xdr:pic>
      <xdr:nvPicPr>
        <xdr:cNvPr id="27" name="Grafik 6" descr="SwissIceSkating_Logo_cmyk.jpg">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02225" y="9715500"/>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49</xdr:col>
      <xdr:colOff>161925</xdr:colOff>
      <xdr:row>169</xdr:row>
      <xdr:rowOff>63500</xdr:rowOff>
    </xdr:from>
    <xdr:ext cx="3200400" cy="730250"/>
    <xdr:pic>
      <xdr:nvPicPr>
        <xdr:cNvPr id="28" name="Grafik 7" descr="SwissIceSkating_Logo_cmyk.jpg">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51300" y="9683750"/>
          <a:ext cx="3200400"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66</xdr:col>
      <xdr:colOff>219075</xdr:colOff>
      <xdr:row>169</xdr:row>
      <xdr:rowOff>63500</xdr:rowOff>
    </xdr:from>
    <xdr:ext cx="3190875" cy="730250"/>
    <xdr:pic>
      <xdr:nvPicPr>
        <xdr:cNvPr id="29" name="Grafik 8" descr="SwissIceSkating_Logo_cmyk.jpg">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66325" y="9683750"/>
          <a:ext cx="31908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171450</xdr:colOff>
      <xdr:row>0</xdr:row>
      <xdr:rowOff>0</xdr:rowOff>
    </xdr:from>
    <xdr:to>
      <xdr:col>11</xdr:col>
      <xdr:colOff>507206</xdr:colOff>
      <xdr:row>1</xdr:row>
      <xdr:rowOff>604838</xdr:rowOff>
    </xdr:to>
    <xdr:pic>
      <xdr:nvPicPr>
        <xdr:cNvPr id="9" name="Grafik 2" descr="SwissIceSkating_Logo_cmyk.jpg">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4875" y="0"/>
          <a:ext cx="3193256" cy="766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007">
    <tabColor indexed="43"/>
    <outlinePr summaryBelow="0" summaryRight="0"/>
    <pageSetUpPr fitToPage="1"/>
  </sheetPr>
  <dimension ref="A1:S45"/>
  <sheetViews>
    <sheetView showGridLines="0" tabSelected="1" zoomScale="80" zoomScaleNormal="75" workbookViewId="0">
      <pane ySplit="9" topLeftCell="A10" activePane="bottomLeft" state="frozenSplit"/>
      <selection activeCell="AA1" sqref="AA1"/>
      <selection pane="bottomLeft" activeCell="B3" sqref="B3:D3"/>
    </sheetView>
  </sheetViews>
  <sheetFormatPr baseColWidth="10" defaultColWidth="11.44140625" defaultRowHeight="13.8"/>
  <cols>
    <col min="1" max="1" width="7.33203125" style="5" customWidth="1"/>
    <col min="2" max="3" width="21.6640625" style="5" customWidth="1"/>
    <col min="4" max="4" width="37.33203125" style="5" customWidth="1"/>
    <col min="5" max="5" width="10.5546875" style="5" customWidth="1"/>
    <col min="6" max="6" width="14.6640625" style="6" customWidth="1"/>
    <col min="7" max="7" width="9.6640625" style="5" customWidth="1"/>
    <col min="8" max="9" width="6.6640625" style="7" customWidth="1"/>
    <col min="10" max="10" width="29.109375" style="7" customWidth="1"/>
    <col min="11" max="11" width="3.5546875" style="5" customWidth="1"/>
    <col min="12" max="12" width="26.5546875" style="5" hidden="1" customWidth="1" collapsed="1"/>
    <col min="13" max="13" width="26.5546875" style="7" hidden="1" customWidth="1"/>
    <col min="14" max="14" width="27" style="5" hidden="1" customWidth="1"/>
    <col min="15" max="17" width="3.33203125" style="5" customWidth="1"/>
    <col min="18" max="18" width="3.5546875" style="5" customWidth="1"/>
    <col min="19" max="25" width="6.6640625" style="5" customWidth="1"/>
    <col min="26" max="26" width="4.5546875" style="5" customWidth="1"/>
    <col min="27" max="27" width="5" style="5" customWidth="1"/>
    <col min="28" max="29" width="10.6640625" style="5" customWidth="1"/>
    <col min="30" max="16384" width="11.44140625" style="5"/>
  </cols>
  <sheetData>
    <row r="1" spans="1:19" ht="58.5" customHeight="1">
      <c r="H1" s="32"/>
      <c r="I1" s="152"/>
      <c r="J1" s="152"/>
      <c r="L1" s="5" t="s">
        <v>0</v>
      </c>
      <c r="M1" s="152" t="s">
        <v>1</v>
      </c>
      <c r="N1" s="8" t="s">
        <v>2</v>
      </c>
      <c r="S1" s="117" t="s">
        <v>3</v>
      </c>
    </row>
    <row r="2" spans="1:19" s="8" customFormat="1" ht="15" customHeight="1">
      <c r="A2" s="151"/>
      <c r="B2" s="258" t="s">
        <v>0</v>
      </c>
      <c r="C2" s="259"/>
      <c r="D2" s="260"/>
      <c r="E2" s="35" t="str">
        <f>IF(B$2=L$1,L2,M2)</f>
        <v>Sprache</v>
      </c>
      <c r="F2" s="35"/>
      <c r="G2" s="35"/>
      <c r="H2" s="35"/>
      <c r="I2" s="11"/>
      <c r="J2" s="11"/>
      <c r="L2" s="35" t="s">
        <v>4</v>
      </c>
      <c r="M2" s="35" t="s">
        <v>5</v>
      </c>
      <c r="N2" s="8" t="str">
        <f>IF(B$2=L1,Daten!C1,Daten!C2)</f>
        <v>SIS Inter-Bronze Stiltest</v>
      </c>
    </row>
    <row r="3" spans="1:19">
      <c r="B3" s="258" t="s">
        <v>248</v>
      </c>
      <c r="C3" s="259"/>
      <c r="D3" s="260"/>
      <c r="E3" s="35" t="str">
        <f>IF(B$2=L$1,L3,M3)</f>
        <v>Testname</v>
      </c>
      <c r="F3" s="5"/>
      <c r="H3" s="5"/>
      <c r="I3" s="5"/>
      <c r="J3" s="5"/>
      <c r="L3" s="35" t="s">
        <v>7</v>
      </c>
      <c r="M3" s="35" t="s">
        <v>8</v>
      </c>
      <c r="N3" s="8" t="str">
        <f>IF(B$2=L1,Daten!C31,Daten!C32)</f>
        <v>SIS Bronze Stiltest</v>
      </c>
      <c r="O3" s="35"/>
    </row>
    <row r="4" spans="1:19" ht="15" customHeight="1">
      <c r="B4" s="275"/>
      <c r="C4" s="276"/>
      <c r="D4" s="277"/>
      <c r="E4" s="35" t="str">
        <f t="shared" ref="E4:E7" si="0">IF(B$2=L$1,L4,M4)</f>
        <v>Austragungsort</v>
      </c>
      <c r="F4" s="5"/>
      <c r="G4" s="10"/>
      <c r="H4" s="152"/>
      <c r="I4" s="152"/>
      <c r="J4" s="5"/>
      <c r="L4" s="35" t="s">
        <v>9</v>
      </c>
      <c r="M4" s="35" t="s">
        <v>10</v>
      </c>
      <c r="N4" s="8" t="str">
        <f>IF(B$2=L1,Daten!C61,Daten!C62)</f>
        <v>SIS Inter-Silber Stiltest</v>
      </c>
      <c r="O4" s="35"/>
      <c r="R4" s="9"/>
    </row>
    <row r="5" spans="1:19">
      <c r="B5" s="278"/>
      <c r="C5" s="279"/>
      <c r="D5" s="280"/>
      <c r="E5" s="35" t="str">
        <f t="shared" si="0"/>
        <v>Datum</v>
      </c>
      <c r="F5" s="5"/>
      <c r="H5" s="5"/>
      <c r="I5" s="9"/>
      <c r="J5" s="5"/>
      <c r="L5" s="35" t="s">
        <v>11</v>
      </c>
      <c r="M5" s="35" t="s">
        <v>12</v>
      </c>
      <c r="N5" s="35"/>
      <c r="O5" s="35"/>
    </row>
    <row r="6" spans="1:19">
      <c r="B6" s="281">
        <f>VLOOKUP(Testname,Daten!C:E,3,FALSE)</f>
        <v>6</v>
      </c>
      <c r="C6" s="282"/>
      <c r="D6" s="283"/>
      <c r="E6" s="35" t="str">
        <f t="shared" si="0"/>
        <v>Testklasse</v>
      </c>
      <c r="H6" s="5"/>
      <c r="I6" s="9"/>
      <c r="J6" s="5"/>
      <c r="L6" s="35" t="s">
        <v>13</v>
      </c>
      <c r="M6" s="35" t="s">
        <v>14</v>
      </c>
      <c r="N6" s="8" t="str">
        <f>VLOOKUP(B3,Daten!C1:D99,2,FALSE)</f>
        <v>Stil Interbronze</v>
      </c>
      <c r="O6" s="35"/>
    </row>
    <row r="7" spans="1:19" ht="15" customHeight="1">
      <c r="B7" s="284"/>
      <c r="C7" s="285"/>
      <c r="D7" s="286"/>
      <c r="E7" s="35" t="str">
        <f t="shared" si="0"/>
        <v>Bemerkung</v>
      </c>
      <c r="H7" s="5"/>
      <c r="I7" s="9"/>
      <c r="J7" s="5"/>
      <c r="L7" s="35" t="s">
        <v>15</v>
      </c>
      <c r="M7" s="35" t="s">
        <v>16</v>
      </c>
      <c r="N7" s="35"/>
      <c r="O7" s="35"/>
    </row>
    <row r="8" spans="1:19">
      <c r="B8" s="287"/>
      <c r="C8" s="288"/>
      <c r="D8" s="289"/>
      <c r="E8" s="35"/>
      <c r="F8" s="10"/>
      <c r="H8" s="5"/>
      <c r="I8" s="5"/>
      <c r="J8" s="5"/>
      <c r="M8" s="5"/>
    </row>
    <row r="9" spans="1:19" s="7" customFormat="1" ht="15.75" customHeight="1">
      <c r="A9" s="152"/>
      <c r="B9" s="152"/>
      <c r="C9" s="152"/>
      <c r="D9" s="152"/>
      <c r="E9" s="152"/>
      <c r="F9" s="152"/>
      <c r="G9" s="12"/>
      <c r="H9" s="217"/>
      <c r="I9" s="152"/>
      <c r="J9" s="152"/>
      <c r="K9" s="152"/>
      <c r="L9" s="5" t="s">
        <v>17</v>
      </c>
      <c r="M9" s="5" t="s">
        <v>18</v>
      </c>
      <c r="N9" s="35"/>
      <c r="O9" s="152"/>
      <c r="P9" s="152"/>
      <c r="Q9" s="152"/>
      <c r="R9" s="152"/>
      <c r="S9" s="152"/>
    </row>
    <row r="10" spans="1:19">
      <c r="A10" s="152"/>
      <c r="B10" s="152"/>
      <c r="H10" s="152"/>
      <c r="I10" s="152"/>
      <c r="J10" s="152"/>
      <c r="L10" s="5" t="s">
        <v>19</v>
      </c>
      <c r="M10" s="152" t="s">
        <v>20</v>
      </c>
    </row>
    <row r="11" spans="1:19" ht="18" customHeight="1">
      <c r="A11" s="12"/>
      <c r="B11" s="272" t="str">
        <f>IF(B$2=L$1,L9,M9)</f>
        <v>Schiedsrichter / Spezialisten (Name Vorname)</v>
      </c>
      <c r="C11" s="273"/>
      <c r="D11" s="274"/>
      <c r="E11" s="36" t="str">
        <f>IF(B$2=L$1,L10,M10)</f>
        <v>Klub</v>
      </c>
      <c r="F11" s="34"/>
      <c r="G11" s="14"/>
      <c r="H11" s="272" t="str">
        <f>IF(B$2=L$1,L11,M11)</f>
        <v>Klasse</v>
      </c>
      <c r="I11" s="274"/>
      <c r="J11"/>
      <c r="L11" s="5" t="s">
        <v>21</v>
      </c>
      <c r="M11" s="152" t="s">
        <v>22</v>
      </c>
    </row>
    <row r="12" spans="1:19" ht="18" customHeight="1">
      <c r="A12" s="50"/>
      <c r="B12" s="265"/>
      <c r="C12" s="266"/>
      <c r="D12" s="267"/>
      <c r="E12" s="262"/>
      <c r="F12" s="263"/>
      <c r="G12" s="264"/>
      <c r="H12" s="262"/>
      <c r="I12" s="264"/>
      <c r="J12" s="35" t="str">
        <f>IF(B$2=L$1,L12,M12)</f>
        <v>SchiedsrichterIn</v>
      </c>
      <c r="L12" s="51" t="s">
        <v>23</v>
      </c>
      <c r="M12" s="51" t="s">
        <v>24</v>
      </c>
    </row>
    <row r="13" spans="1:19" ht="18" customHeight="1">
      <c r="A13" s="50"/>
      <c r="B13" s="265"/>
      <c r="C13" s="266"/>
      <c r="D13" s="267"/>
      <c r="E13" s="262"/>
      <c r="F13" s="263"/>
      <c r="G13" s="264"/>
      <c r="H13" s="262"/>
      <c r="I13" s="264"/>
      <c r="J13" s="35" t="str">
        <f t="shared" ref="J13:J19" si="1">IF(B$2=L$1,L13,M13)</f>
        <v>PreisrichterIn 2</v>
      </c>
      <c r="L13" s="51" t="s">
        <v>25</v>
      </c>
      <c r="M13" s="51" t="s">
        <v>26</v>
      </c>
    </row>
    <row r="14" spans="1:19" ht="18" customHeight="1">
      <c r="A14" s="50"/>
      <c r="B14" s="265"/>
      <c r="C14" s="266"/>
      <c r="D14" s="267"/>
      <c r="E14" s="262"/>
      <c r="F14" s="263"/>
      <c r="G14" s="264"/>
      <c r="H14" s="262"/>
      <c r="I14" s="264"/>
      <c r="J14" s="35" t="str">
        <f t="shared" si="1"/>
        <v>PreisrichterIn 3</v>
      </c>
      <c r="L14" s="51" t="s">
        <v>27</v>
      </c>
      <c r="M14" s="51" t="s">
        <v>28</v>
      </c>
    </row>
    <row r="15" spans="1:19" ht="18" customHeight="1">
      <c r="A15" s="50"/>
      <c r="B15" s="265"/>
      <c r="C15" s="266"/>
      <c r="D15" s="267"/>
      <c r="E15" s="262"/>
      <c r="F15" s="263"/>
      <c r="G15" s="264"/>
      <c r="H15" s="262"/>
      <c r="I15" s="264"/>
      <c r="J15" s="35" t="str">
        <f t="shared" si="1"/>
        <v>Verantwortliche/r der Tests</v>
      </c>
      <c r="L15" s="51" t="s">
        <v>29</v>
      </c>
      <c r="M15" s="51" t="s">
        <v>30</v>
      </c>
    </row>
    <row r="16" spans="1:19" ht="18" customHeight="1">
      <c r="A16" s="50"/>
      <c r="B16" s="265"/>
      <c r="C16" s="266"/>
      <c r="D16" s="267"/>
      <c r="E16" s="262"/>
      <c r="F16" s="263"/>
      <c r="G16" s="264"/>
      <c r="H16" s="262"/>
      <c r="I16" s="264"/>
      <c r="J16" s="35" t="str">
        <f t="shared" si="1"/>
        <v>Technical Specialist</v>
      </c>
      <c r="L16" s="51" t="s">
        <v>31</v>
      </c>
      <c r="M16" s="51" t="s">
        <v>31</v>
      </c>
    </row>
    <row r="17" spans="1:14" ht="18" customHeight="1">
      <c r="A17" s="50"/>
      <c r="B17" s="265"/>
      <c r="C17" s="266"/>
      <c r="D17" s="267"/>
      <c r="E17" s="262"/>
      <c r="F17" s="263"/>
      <c r="G17" s="264"/>
      <c r="H17" s="262"/>
      <c r="I17" s="264"/>
      <c r="J17" s="35" t="str">
        <f t="shared" si="1"/>
        <v>Tech. Spec. Assistant</v>
      </c>
      <c r="L17" s="51" t="s">
        <v>32</v>
      </c>
      <c r="M17" s="51" t="s">
        <v>32</v>
      </c>
    </row>
    <row r="18" spans="1:14" ht="18" customHeight="1">
      <c r="A18" s="50"/>
      <c r="B18" s="265"/>
      <c r="C18" s="266"/>
      <c r="D18" s="267"/>
      <c r="E18" s="262"/>
      <c r="F18" s="263"/>
      <c r="G18" s="264"/>
      <c r="H18" s="262"/>
      <c r="I18" s="264"/>
      <c r="J18" s="35" t="str">
        <f t="shared" si="1"/>
        <v>RechnungsführerIn</v>
      </c>
      <c r="L18" s="51" t="s">
        <v>33</v>
      </c>
      <c r="M18" s="51" t="s">
        <v>34</v>
      </c>
    </row>
    <row r="19" spans="1:14" ht="18" customHeight="1">
      <c r="A19" s="50"/>
      <c r="B19" s="265"/>
      <c r="C19" s="266"/>
      <c r="D19" s="267"/>
      <c r="E19" s="262"/>
      <c r="F19" s="263"/>
      <c r="G19" s="264"/>
      <c r="H19" s="262"/>
      <c r="I19" s="264"/>
      <c r="J19" s="35" t="str">
        <f t="shared" si="1"/>
        <v>Klubpräsident</v>
      </c>
      <c r="L19" s="51" t="s">
        <v>35</v>
      </c>
      <c r="M19" s="51" t="s">
        <v>36</v>
      </c>
    </row>
    <row r="20" spans="1:14" ht="18" customHeight="1">
      <c r="H20" s="152"/>
      <c r="I20" s="152"/>
      <c r="J20" s="35"/>
      <c r="L20" s="5" t="s">
        <v>37</v>
      </c>
      <c r="M20" s="5" t="s">
        <v>38</v>
      </c>
    </row>
    <row r="21" spans="1:14" ht="33.75" customHeight="1">
      <c r="A21" s="12"/>
      <c r="B21" s="272" t="str">
        <f>IF(B$2=L$1,L20,M20)</f>
        <v>Name</v>
      </c>
      <c r="C21" s="273"/>
      <c r="D21" s="274"/>
      <c r="E21" s="272" t="str">
        <f>IF(B$2=L$1,L10,M10)</f>
        <v>Klub</v>
      </c>
      <c r="F21" s="273"/>
      <c r="G21" s="273"/>
      <c r="H21" s="292" t="str">
        <f>IF(B$2=L$1,L21,M21)</f>
        <v>Lizenz-nummer</v>
      </c>
      <c r="I21" s="293"/>
      <c r="J21"/>
      <c r="L21" s="5" t="s">
        <v>39</v>
      </c>
      <c r="M21" s="154" t="s">
        <v>40</v>
      </c>
    </row>
    <row r="22" spans="1:14" ht="18" customHeight="1">
      <c r="A22" s="37"/>
      <c r="B22" s="269"/>
      <c r="C22" s="270"/>
      <c r="D22" s="271"/>
      <c r="E22" s="262"/>
      <c r="F22" s="263"/>
      <c r="G22" s="263"/>
      <c r="H22" s="290"/>
      <c r="I22" s="291"/>
      <c r="J22" s="35" t="str">
        <f>IF(B$2=L$1,L22,M22)</f>
        <v>TeilnehmerIn 1</v>
      </c>
      <c r="L22" s="51" t="s">
        <v>41</v>
      </c>
      <c r="M22" s="51" t="s">
        <v>42</v>
      </c>
      <c r="N22" s="5" t="str">
        <f>IF(B22="","","S")</f>
        <v/>
      </c>
    </row>
    <row r="23" spans="1:14" ht="18" customHeight="1">
      <c r="A23" s="37"/>
      <c r="B23" s="269"/>
      <c r="C23" s="270"/>
      <c r="D23" s="271"/>
      <c r="E23" s="262"/>
      <c r="F23" s="263"/>
      <c r="G23" s="263"/>
      <c r="H23" s="290"/>
      <c r="I23" s="291"/>
      <c r="J23" s="35" t="str">
        <f t="shared" ref="J23:J41" si="2">IF(B$2=L$1,L23,M23)</f>
        <v>TeilnehmerIn 2</v>
      </c>
      <c r="L23" s="51" t="s">
        <v>43</v>
      </c>
      <c r="M23" s="51" t="s">
        <v>44</v>
      </c>
      <c r="N23" s="5" t="str">
        <f t="shared" ref="N23:N26" si="3">IF(B23="","","S")</f>
        <v/>
      </c>
    </row>
    <row r="24" spans="1:14" ht="18" customHeight="1">
      <c r="A24" s="37"/>
      <c r="B24" s="269"/>
      <c r="C24" s="270"/>
      <c r="D24" s="271"/>
      <c r="E24" s="262"/>
      <c r="F24" s="263"/>
      <c r="G24" s="263"/>
      <c r="H24" s="290"/>
      <c r="I24" s="291"/>
      <c r="J24" s="35" t="str">
        <f t="shared" si="2"/>
        <v>TeilnehmerIn 3</v>
      </c>
      <c r="L24" s="51" t="s">
        <v>45</v>
      </c>
      <c r="M24" s="51" t="s">
        <v>46</v>
      </c>
      <c r="N24" s="5" t="str">
        <f t="shared" si="3"/>
        <v/>
      </c>
    </row>
    <row r="25" spans="1:14" ht="18" customHeight="1">
      <c r="A25" s="37"/>
      <c r="B25" s="269"/>
      <c r="C25" s="270"/>
      <c r="D25" s="271"/>
      <c r="E25" s="262"/>
      <c r="F25" s="263"/>
      <c r="G25" s="263"/>
      <c r="H25" s="290"/>
      <c r="I25" s="291"/>
      <c r="J25" s="35" t="str">
        <f t="shared" si="2"/>
        <v>TeilnehmerIn 4</v>
      </c>
      <c r="L25" s="51" t="s">
        <v>47</v>
      </c>
      <c r="M25" s="51" t="s">
        <v>48</v>
      </c>
      <c r="N25" s="5" t="str">
        <f t="shared" si="3"/>
        <v/>
      </c>
    </row>
    <row r="26" spans="1:14" ht="18" customHeight="1">
      <c r="A26" s="37"/>
      <c r="B26" s="269"/>
      <c r="C26" s="270"/>
      <c r="D26" s="271"/>
      <c r="E26" s="262"/>
      <c r="F26" s="263"/>
      <c r="G26" s="263"/>
      <c r="H26" s="290"/>
      <c r="I26" s="291"/>
      <c r="J26" s="35" t="str">
        <f t="shared" si="2"/>
        <v>TeilnehmerIn 5</v>
      </c>
      <c r="L26" s="51" t="s">
        <v>49</v>
      </c>
      <c r="M26" s="51" t="s">
        <v>50</v>
      </c>
      <c r="N26" s="5" t="str">
        <f t="shared" si="3"/>
        <v/>
      </c>
    </row>
    <row r="27" spans="1:14" ht="18" customHeight="1">
      <c r="A27" s="37"/>
      <c r="B27" s="269"/>
      <c r="C27" s="270"/>
      <c r="D27" s="271"/>
      <c r="E27" s="262"/>
      <c r="F27" s="263"/>
      <c r="G27" s="263"/>
      <c r="H27" s="290"/>
      <c r="I27" s="291"/>
      <c r="J27" s="35" t="str">
        <f t="shared" si="2"/>
        <v>TeilnehmerIn 6</v>
      </c>
      <c r="L27" s="51" t="s">
        <v>51</v>
      </c>
      <c r="M27" s="51" t="s">
        <v>52</v>
      </c>
      <c r="N27" s="5" t="str">
        <f>IF(B27="","","AJ")</f>
        <v/>
      </c>
    </row>
    <row r="28" spans="1:14" ht="18" customHeight="1">
      <c r="A28" s="37"/>
      <c r="B28" s="269"/>
      <c r="C28" s="270"/>
      <c r="D28" s="271"/>
      <c r="E28" s="262"/>
      <c r="F28" s="263"/>
      <c r="G28" s="263"/>
      <c r="H28" s="290"/>
      <c r="I28" s="291"/>
      <c r="J28" s="35" t="str">
        <f t="shared" si="2"/>
        <v>TeilnehmerIn 7</v>
      </c>
      <c r="L28" s="51" t="s">
        <v>53</v>
      </c>
      <c r="M28" s="51" t="s">
        <v>54</v>
      </c>
      <c r="N28" s="5" t="str">
        <f t="shared" ref="N28:N31" si="4">IF(B28="","","AJ")</f>
        <v/>
      </c>
    </row>
    <row r="29" spans="1:14" ht="18" customHeight="1">
      <c r="A29" s="37"/>
      <c r="B29" s="269"/>
      <c r="C29" s="270"/>
      <c r="D29" s="271"/>
      <c r="E29" s="262"/>
      <c r="F29" s="263"/>
      <c r="G29" s="263"/>
      <c r="H29" s="290"/>
      <c r="I29" s="291"/>
      <c r="J29" s="35" t="str">
        <f t="shared" si="2"/>
        <v>TeilnehmerIn 8</v>
      </c>
      <c r="L29" s="51" t="s">
        <v>55</v>
      </c>
      <c r="M29" s="51" t="s">
        <v>56</v>
      </c>
      <c r="N29" s="5" t="str">
        <f t="shared" si="4"/>
        <v/>
      </c>
    </row>
    <row r="30" spans="1:14" ht="18" customHeight="1">
      <c r="A30" s="37"/>
      <c r="B30" s="269"/>
      <c r="C30" s="270"/>
      <c r="D30" s="271"/>
      <c r="E30" s="262"/>
      <c r="F30" s="263"/>
      <c r="G30" s="263"/>
      <c r="H30" s="290"/>
      <c r="I30" s="291"/>
      <c r="J30" s="35" t="str">
        <f t="shared" si="2"/>
        <v>TeilnehmerIn 9</v>
      </c>
      <c r="L30" s="51" t="s">
        <v>57</v>
      </c>
      <c r="M30" s="51" t="s">
        <v>58</v>
      </c>
      <c r="N30" s="5" t="str">
        <f t="shared" si="4"/>
        <v/>
      </c>
    </row>
    <row r="31" spans="1:14" ht="18" customHeight="1">
      <c r="A31" s="37"/>
      <c r="B31" s="269"/>
      <c r="C31" s="270"/>
      <c r="D31" s="271"/>
      <c r="E31" s="262"/>
      <c r="F31" s="263"/>
      <c r="G31" s="263"/>
      <c r="H31" s="290"/>
      <c r="I31" s="291"/>
      <c r="J31" s="35" t="str">
        <f t="shared" si="2"/>
        <v>TeilnehmerIn 10</v>
      </c>
      <c r="L31" s="51" t="s">
        <v>59</v>
      </c>
      <c r="M31" s="51" t="s">
        <v>60</v>
      </c>
      <c r="N31" s="5" t="str">
        <f t="shared" si="4"/>
        <v/>
      </c>
    </row>
    <row r="32" spans="1:14" ht="18" customHeight="1">
      <c r="A32" s="37"/>
      <c r="B32" s="269"/>
      <c r="C32" s="270"/>
      <c r="D32" s="271"/>
      <c r="E32" s="262"/>
      <c r="F32" s="263"/>
      <c r="G32" s="263"/>
      <c r="H32" s="290"/>
      <c r="I32" s="291"/>
      <c r="J32" s="35" t="str">
        <f t="shared" si="2"/>
        <v>TeilnehmerIn 11</v>
      </c>
      <c r="L32" s="51" t="s">
        <v>61</v>
      </c>
      <c r="M32" s="51" t="s">
        <v>62</v>
      </c>
      <c r="N32" s="5" t="str">
        <f>IF(B32="","","BA")</f>
        <v/>
      </c>
    </row>
    <row r="33" spans="1:15" ht="18" customHeight="1">
      <c r="A33" s="37"/>
      <c r="B33" s="269"/>
      <c r="C33" s="270"/>
      <c r="D33" s="271"/>
      <c r="E33" s="262"/>
      <c r="F33" s="263"/>
      <c r="G33" s="263"/>
      <c r="H33" s="290"/>
      <c r="I33" s="291"/>
      <c r="J33" s="35" t="str">
        <f t="shared" si="2"/>
        <v>TeilnehmerIn 12</v>
      </c>
      <c r="L33" s="51" t="s">
        <v>63</v>
      </c>
      <c r="M33" s="51" t="s">
        <v>64</v>
      </c>
      <c r="N33" s="5" t="str">
        <f t="shared" ref="N33:N36" si="5">IF(B33="","","BA")</f>
        <v/>
      </c>
    </row>
    <row r="34" spans="1:15" ht="18" customHeight="1">
      <c r="A34" s="37"/>
      <c r="B34" s="269"/>
      <c r="C34" s="270"/>
      <c r="D34" s="271"/>
      <c r="E34" s="262"/>
      <c r="F34" s="263"/>
      <c r="G34" s="263"/>
      <c r="H34" s="290"/>
      <c r="I34" s="291"/>
      <c r="J34" s="35" t="str">
        <f t="shared" si="2"/>
        <v>TeilnehmerIn 13</v>
      </c>
      <c r="L34" s="51" t="s">
        <v>65</v>
      </c>
      <c r="M34" s="51" t="s">
        <v>66</v>
      </c>
      <c r="N34" s="5" t="str">
        <f t="shared" si="5"/>
        <v/>
      </c>
    </row>
    <row r="35" spans="1:15" ht="18" customHeight="1">
      <c r="A35" s="37"/>
      <c r="B35" s="269"/>
      <c r="C35" s="270"/>
      <c r="D35" s="271"/>
      <c r="E35" s="262"/>
      <c r="F35" s="263"/>
      <c r="G35" s="263"/>
      <c r="H35" s="290"/>
      <c r="I35" s="291"/>
      <c r="J35" s="35" t="str">
        <f t="shared" si="2"/>
        <v>TeilnehmerIn 14</v>
      </c>
      <c r="L35" s="51" t="s">
        <v>67</v>
      </c>
      <c r="M35" s="51" t="s">
        <v>68</v>
      </c>
      <c r="N35" s="5" t="str">
        <f t="shared" si="5"/>
        <v/>
      </c>
    </row>
    <row r="36" spans="1:15" ht="18" customHeight="1">
      <c r="A36" s="37"/>
      <c r="B36" s="269"/>
      <c r="C36" s="270"/>
      <c r="D36" s="271"/>
      <c r="E36" s="262"/>
      <c r="F36" s="263"/>
      <c r="G36" s="263"/>
      <c r="H36" s="290"/>
      <c r="I36" s="291"/>
      <c r="J36" s="35" t="str">
        <f t="shared" si="2"/>
        <v>TeilnehmerIn 15</v>
      </c>
      <c r="L36" s="51" t="s">
        <v>69</v>
      </c>
      <c r="M36" s="51" t="s">
        <v>70</v>
      </c>
      <c r="N36" s="5" t="str">
        <f t="shared" si="5"/>
        <v/>
      </c>
    </row>
    <row r="37" spans="1:15" ht="18" customHeight="1">
      <c r="A37" s="37"/>
      <c r="B37" s="269"/>
      <c r="C37" s="270"/>
      <c r="D37" s="271"/>
      <c r="E37" s="262"/>
      <c r="F37" s="263"/>
      <c r="G37" s="263"/>
      <c r="H37" s="290"/>
      <c r="I37" s="291"/>
      <c r="J37" s="35" t="str">
        <f t="shared" si="2"/>
        <v>TeilnehmerIn 16</v>
      </c>
      <c r="L37" s="51" t="s">
        <v>71</v>
      </c>
      <c r="M37" s="51" t="s">
        <v>72</v>
      </c>
      <c r="N37" s="5" t="str">
        <f>IF(B37="","","BR")</f>
        <v/>
      </c>
    </row>
    <row r="38" spans="1:15" ht="18" customHeight="1">
      <c r="A38" s="37"/>
      <c r="B38" s="269"/>
      <c r="C38" s="270"/>
      <c r="D38" s="271"/>
      <c r="E38" s="262"/>
      <c r="F38" s="263"/>
      <c r="G38" s="263"/>
      <c r="H38" s="290"/>
      <c r="I38" s="291"/>
      <c r="J38" s="35" t="str">
        <f t="shared" si="2"/>
        <v>TeilnehmerIn 17</v>
      </c>
      <c r="L38" s="51" t="s">
        <v>73</v>
      </c>
      <c r="M38" s="51" t="s">
        <v>74</v>
      </c>
      <c r="N38" s="5" t="str">
        <f t="shared" ref="N38:N41" si="6">IF(B38="","","BR")</f>
        <v/>
      </c>
    </row>
    <row r="39" spans="1:15" ht="18" customHeight="1">
      <c r="A39" s="37"/>
      <c r="B39" s="269"/>
      <c r="C39" s="270"/>
      <c r="D39" s="271"/>
      <c r="E39" s="262"/>
      <c r="F39" s="263"/>
      <c r="G39" s="263"/>
      <c r="H39" s="290"/>
      <c r="I39" s="291"/>
      <c r="J39" s="35" t="str">
        <f t="shared" si="2"/>
        <v>TeilnehmerIn 18</v>
      </c>
      <c r="L39" s="51" t="s">
        <v>75</v>
      </c>
      <c r="M39" s="51" t="s">
        <v>76</v>
      </c>
      <c r="N39" s="5" t="str">
        <f t="shared" si="6"/>
        <v/>
      </c>
    </row>
    <row r="40" spans="1:15" ht="18" customHeight="1">
      <c r="A40" s="37"/>
      <c r="B40" s="269"/>
      <c r="C40" s="270"/>
      <c r="D40" s="271"/>
      <c r="E40" s="262"/>
      <c r="F40" s="263"/>
      <c r="G40" s="263"/>
      <c r="H40" s="290"/>
      <c r="I40" s="291"/>
      <c r="J40" s="35" t="str">
        <f t="shared" si="2"/>
        <v>TeilnehmerIn 19</v>
      </c>
      <c r="L40" s="51" t="s">
        <v>77</v>
      </c>
      <c r="M40" s="51" t="s">
        <v>78</v>
      </c>
      <c r="N40" s="5" t="str">
        <f t="shared" si="6"/>
        <v/>
      </c>
    </row>
    <row r="41" spans="1:15" ht="18" customHeight="1">
      <c r="A41" s="37"/>
      <c r="B41" s="269"/>
      <c r="C41" s="270"/>
      <c r="D41" s="271"/>
      <c r="E41" s="262"/>
      <c r="F41" s="263"/>
      <c r="G41" s="263"/>
      <c r="H41" s="290"/>
      <c r="I41" s="291"/>
      <c r="J41" s="35" t="str">
        <f t="shared" si="2"/>
        <v>TeilnehmerIn 20</v>
      </c>
      <c r="L41" s="51" t="s">
        <v>79</v>
      </c>
      <c r="M41" s="51" t="s">
        <v>80</v>
      </c>
      <c r="N41" s="5" t="str">
        <f t="shared" si="6"/>
        <v/>
      </c>
    </row>
    <row r="42" spans="1:15" ht="18" customHeight="1">
      <c r="H42" s="152"/>
      <c r="I42" s="152"/>
      <c r="J42"/>
      <c r="M42" s="152"/>
      <c r="N42" s="5" t="str" cm="1">
        <f t="array" aca="1" ref="N42" ca="1">INDIRECT("N"&amp;20-COUNTIF(N22:N41,"")+22)</f>
        <v/>
      </c>
    </row>
    <row r="43" spans="1:15">
      <c r="B43" s="111"/>
      <c r="C43" s="111"/>
      <c r="D43" s="111"/>
      <c r="G43" s="152"/>
      <c r="H43" s="152"/>
      <c r="I43" s="152"/>
      <c r="J43"/>
      <c r="M43" s="152"/>
    </row>
    <row r="44" spans="1:15" ht="14.25" customHeight="1">
      <c r="A44" s="268" t="str">
        <f>Versionenkontrolle!G1</f>
        <v>Version 1.3;
06.01.2024</v>
      </c>
      <c r="B44" s="268"/>
      <c r="C44" s="268"/>
      <c r="D44" s="33"/>
      <c r="E44" s="261"/>
      <c r="F44" s="261"/>
      <c r="G44" s="110"/>
      <c r="H44" s="110"/>
      <c r="I44" s="110"/>
      <c r="J44" s="110"/>
      <c r="K44" s="110"/>
      <c r="L44" s="13"/>
      <c r="M44" s="13"/>
      <c r="O44" s="13"/>
    </row>
    <row r="45" spans="1:15">
      <c r="H45" s="152"/>
      <c r="I45" s="152"/>
      <c r="J45" s="152"/>
      <c r="M45" s="152"/>
      <c r="N45" s="13"/>
    </row>
  </sheetData>
  <sheetProtection algorithmName="SHA-512" hashValue="vFPOs+CqgbaOACqZvr9QQFjAdUT7eP6yq4eJ34fN7S4fREarZRIW6u+sj+AR26ae3eKd0CJLFQEn4i3QRw673Q==" saltValue="UuVPknf0fTPN9Tkg7qzVmA==" spinCount="100000" sheet="1" selectLockedCells="1"/>
  <protectedRanges>
    <protectedRange sqref="B22:G41" name="Bereich4"/>
    <protectedRange sqref="B12:I19" name="Bereich3"/>
    <protectedRange sqref="B7" name="Bereich2"/>
    <protectedRange sqref="B2:D5" name="Bereich1"/>
  </protectedRanges>
  <dataConsolidate/>
  <mergeCells count="97">
    <mergeCell ref="B41:D41"/>
    <mergeCell ref="B34:D34"/>
    <mergeCell ref="B35:D35"/>
    <mergeCell ref="B36:D36"/>
    <mergeCell ref="B37:D37"/>
    <mergeCell ref="B38:D38"/>
    <mergeCell ref="B39:D39"/>
    <mergeCell ref="B40:D40"/>
    <mergeCell ref="B33:D33"/>
    <mergeCell ref="B26:D26"/>
    <mergeCell ref="B27:D27"/>
    <mergeCell ref="H27:I27"/>
    <mergeCell ref="E37:G37"/>
    <mergeCell ref="E31:G31"/>
    <mergeCell ref="E26:G26"/>
    <mergeCell ref="E27:G27"/>
    <mergeCell ref="E28:G28"/>
    <mergeCell ref="E29:G29"/>
    <mergeCell ref="B28:D28"/>
    <mergeCell ref="B29:D29"/>
    <mergeCell ref="B30:D30"/>
    <mergeCell ref="B31:D31"/>
    <mergeCell ref="B32:D32"/>
    <mergeCell ref="H40:I40"/>
    <mergeCell ref="H28:I28"/>
    <mergeCell ref="H29:I29"/>
    <mergeCell ref="H22:I22"/>
    <mergeCell ref="H23:I23"/>
    <mergeCell ref="H24:I24"/>
    <mergeCell ref="H25:I25"/>
    <mergeCell ref="H26:I26"/>
    <mergeCell ref="E41:G41"/>
    <mergeCell ref="H32:I32"/>
    <mergeCell ref="H33:I33"/>
    <mergeCell ref="E34:G34"/>
    <mergeCell ref="E38:G38"/>
    <mergeCell ref="E39:G39"/>
    <mergeCell ref="E32:G32"/>
    <mergeCell ref="E33:G33"/>
    <mergeCell ref="H37:I37"/>
    <mergeCell ref="H34:I34"/>
    <mergeCell ref="E35:G35"/>
    <mergeCell ref="H35:I35"/>
    <mergeCell ref="H36:I36"/>
    <mergeCell ref="H41:I41"/>
    <mergeCell ref="H38:I38"/>
    <mergeCell ref="H39:I39"/>
    <mergeCell ref="B18:D18"/>
    <mergeCell ref="B21:D21"/>
    <mergeCell ref="E17:G17"/>
    <mergeCell ref="B19:D19"/>
    <mergeCell ref="E18:G18"/>
    <mergeCell ref="E21:G21"/>
    <mergeCell ref="H12:I12"/>
    <mergeCell ref="H11:I11"/>
    <mergeCell ref="H13:I13"/>
    <mergeCell ref="H14:I14"/>
    <mergeCell ref="E16:G16"/>
    <mergeCell ref="E15:G15"/>
    <mergeCell ref="E22:G22"/>
    <mergeCell ref="E23:G23"/>
    <mergeCell ref="E19:G19"/>
    <mergeCell ref="H19:I19"/>
    <mergeCell ref="E24:G24"/>
    <mergeCell ref="H21:I21"/>
    <mergeCell ref="H17:I17"/>
    <mergeCell ref="H18:I18"/>
    <mergeCell ref="H30:I30"/>
    <mergeCell ref="H31:I31"/>
    <mergeCell ref="H15:I15"/>
    <mergeCell ref="H16:I16"/>
    <mergeCell ref="B3:D3"/>
    <mergeCell ref="B4:D4"/>
    <mergeCell ref="B5:D5"/>
    <mergeCell ref="B6:D6"/>
    <mergeCell ref="B7:D8"/>
    <mergeCell ref="B12:D12"/>
    <mergeCell ref="B13:D13"/>
    <mergeCell ref="B14:D14"/>
    <mergeCell ref="B15:D15"/>
    <mergeCell ref="B16:D16"/>
    <mergeCell ref="B2:D2"/>
    <mergeCell ref="E44:F44"/>
    <mergeCell ref="E12:G12"/>
    <mergeCell ref="E13:G13"/>
    <mergeCell ref="E14:G14"/>
    <mergeCell ref="B17:D17"/>
    <mergeCell ref="A44:C44"/>
    <mergeCell ref="E36:G36"/>
    <mergeCell ref="E30:G30"/>
    <mergeCell ref="B22:D22"/>
    <mergeCell ref="B23:D23"/>
    <mergeCell ref="B24:D24"/>
    <mergeCell ref="B25:D25"/>
    <mergeCell ref="B11:D11"/>
    <mergeCell ref="E25:G25"/>
    <mergeCell ref="E40:G40"/>
  </mergeCells>
  <phoneticPr fontId="0" type="noConversion"/>
  <conditionalFormatting sqref="K11:K42">
    <cfRule type="expression" dxfId="13" priority="2" stopIfTrue="1">
      <formula>LEN(#REF!)&gt;2</formula>
    </cfRule>
  </conditionalFormatting>
  <dataValidations count="2">
    <dataValidation type="list" allowBlank="1" showInputMessage="1" showErrorMessage="1" sqref="B3:D3" xr:uid="{00000000-0002-0000-0000-000000000000}">
      <formula1>$N$2:$N$4</formula1>
    </dataValidation>
    <dataValidation type="list" allowBlank="1" showInputMessage="1" showErrorMessage="1" sqref="B2:D2" xr:uid="{00000000-0002-0000-0000-000001000000}">
      <formula1>$L$1:$M$1</formula1>
    </dataValidation>
  </dataValidations>
  <printOptions horizontalCentered="1"/>
  <pageMargins left="0.70866141732283472" right="0.51181102362204722" top="0.59055118110236227" bottom="0.59055118110236227" header="0.31496062992125984" footer="0.31496062992125984"/>
  <pageSetup paperSize="9" scale="53" fitToHeight="0" orientation="portrait" horizontalDpi="300" verticalDpi="300" r:id="rId1"/>
  <headerFooter alignWithMargins="0">
    <oddFooter>&amp;LDruckdatum: &amp;D&amp;C&amp;F / &amp;A&amp;RSeite &amp;P/&amp;N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6790" r:id="rId4" name="Button 1558">
              <controlPr defaultSize="0" print="0" autoFill="0" autoPict="0" macro="[0]!Elemente_in_Lesezugriff_setzen">
                <anchor moveWithCells="1" sizeWithCells="1">
                  <from>
                    <xdr:col>1</xdr:col>
                    <xdr:colOff>0</xdr:colOff>
                    <xdr:row>42</xdr:row>
                    <xdr:rowOff>0</xdr:rowOff>
                  </from>
                  <to>
                    <xdr:col>1</xdr:col>
                    <xdr:colOff>0</xdr:colOff>
                    <xdr:row>42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002">
    <tabColor indexed="42"/>
    <outlinePr summaryBelow="0" summaryRight="0"/>
    <pageSetUpPr fitToPage="1"/>
  </sheetPr>
  <dimension ref="A1:AI98"/>
  <sheetViews>
    <sheetView showGridLines="0" showOutlineSymbols="0" view="pageBreakPreview" zoomScale="90" zoomScaleNormal="90" zoomScaleSheetLayoutView="90" workbookViewId="0">
      <pane ySplit="2" topLeftCell="A26" activePane="bottomLeft" state="frozenSplit"/>
      <selection activeCell="AA1" sqref="AA1"/>
      <selection pane="bottomLeft" activeCell="AA1" sqref="AA1"/>
    </sheetView>
  </sheetViews>
  <sheetFormatPr baseColWidth="10" defaultColWidth="11.44140625" defaultRowHeight="15" outlineLevelCol="1"/>
  <cols>
    <col min="1" max="1" width="2.109375" style="17" customWidth="1"/>
    <col min="2" max="2" width="1.88671875" style="17" customWidth="1"/>
    <col min="3" max="4" width="7.33203125" style="17" customWidth="1"/>
    <col min="5" max="5" width="10" style="17" customWidth="1"/>
    <col min="6" max="6" width="11.88671875" style="17" customWidth="1"/>
    <col min="7" max="11" width="7.33203125" style="17" customWidth="1"/>
    <col min="12" max="12" width="6.88671875" style="17" customWidth="1"/>
    <col min="13" max="13" width="7.33203125" style="17" customWidth="1"/>
    <col min="14" max="14" width="6.6640625" style="17" customWidth="1"/>
    <col min="15" max="15" width="8.109375" style="17" customWidth="1"/>
    <col min="16" max="16" width="11.44140625" style="17"/>
    <col min="17" max="17" width="9.88671875" style="17" customWidth="1"/>
    <col min="18" max="18" width="2.44140625" style="17" customWidth="1"/>
    <col min="19" max="19" width="6.109375" style="17" customWidth="1"/>
    <col min="20" max="20" width="2.109375" style="22" customWidth="1" outlineLevel="1"/>
    <col min="21" max="21" width="28.6640625" style="27" hidden="1" customWidth="1" outlineLevel="1"/>
    <col min="22" max="22" width="40.6640625" style="27" hidden="1" customWidth="1" outlineLevel="1"/>
    <col min="23" max="23" width="28.6640625" style="17" hidden="1" customWidth="1"/>
    <col min="24" max="26" width="28.6640625" style="17" customWidth="1"/>
    <col min="27" max="16384" width="11.44140625" style="17"/>
  </cols>
  <sheetData>
    <row r="1" spans="1:35" ht="99.9" customHeight="1">
      <c r="A1" s="16"/>
      <c r="C1" s="60"/>
      <c r="D1" s="18"/>
      <c r="E1" s="18"/>
      <c r="F1" s="18"/>
      <c r="G1" s="18"/>
      <c r="H1" s="18"/>
      <c r="I1" s="30"/>
      <c r="J1" s="294"/>
      <c r="K1" s="294"/>
      <c r="L1" s="294"/>
      <c r="M1" s="294"/>
      <c r="N1" s="294"/>
      <c r="O1" s="294"/>
      <c r="P1" s="294"/>
      <c r="Q1" s="294"/>
    </row>
    <row r="2" spans="1:35" ht="3.9" customHeight="1">
      <c r="A2" s="16"/>
      <c r="J2" s="19"/>
      <c r="K2" s="19"/>
    </row>
    <row r="3" spans="1:35" ht="6.75" customHeight="1">
      <c r="A3" s="16"/>
      <c r="I3" s="116"/>
      <c r="J3" s="116"/>
      <c r="K3" s="116"/>
      <c r="L3" s="116"/>
      <c r="M3" s="116"/>
      <c r="N3" s="116"/>
      <c r="O3" s="116"/>
      <c r="P3" s="116"/>
      <c r="Q3" s="116"/>
    </row>
    <row r="4" spans="1:35" ht="3.9" customHeight="1">
      <c r="A4" s="16"/>
      <c r="C4" s="29"/>
      <c r="J4" s="19"/>
      <c r="K4" s="19"/>
      <c r="M4" s="28"/>
      <c r="N4" s="28"/>
      <c r="O4" s="28"/>
      <c r="P4" s="28"/>
      <c r="Q4" s="28"/>
    </row>
    <row r="5" spans="1:35" ht="177.75" customHeight="1">
      <c r="A5" s="16"/>
      <c r="C5" s="120"/>
      <c r="D5" s="120"/>
      <c r="E5" s="309" t="s">
        <v>81</v>
      </c>
      <c r="F5" s="295"/>
      <c r="G5" s="295"/>
      <c r="H5" s="295"/>
      <c r="I5" s="120"/>
      <c r="J5" s="120"/>
      <c r="K5" s="120"/>
      <c r="L5" s="120"/>
      <c r="M5" s="120"/>
      <c r="N5" s="120"/>
      <c r="O5" s="120"/>
      <c r="P5" s="120"/>
      <c r="Q5" s="120"/>
      <c r="U5" s="5" t="str">
        <f>Konfiguration_Configuration!L1</f>
        <v>Deutsch</v>
      </c>
      <c r="V5" s="5" t="str">
        <f>Konfiguration_Configuration!M1</f>
        <v>francais</v>
      </c>
    </row>
    <row r="6" spans="1:35" s="119" customFormat="1" ht="48" customHeight="1">
      <c r="A6" s="118"/>
      <c r="C6" s="119" t="str">
        <f>IF(Konfiguration_Configuration!B$2=Konfiguration_Configuration!L$1,'Testbericht_Rapport de test'!U6,'Testbericht_Rapport de test'!V6)</f>
        <v>Testbericht</v>
      </c>
      <c r="S6" s="17"/>
      <c r="T6" s="22"/>
      <c r="U6" s="17" t="s">
        <v>82</v>
      </c>
      <c r="V6" s="15" t="s">
        <v>83</v>
      </c>
      <c r="W6" s="153"/>
      <c r="X6" s="153"/>
      <c r="Y6" s="153"/>
      <c r="Z6" s="153"/>
      <c r="AA6" s="153"/>
      <c r="AB6" s="153"/>
      <c r="AC6" s="153"/>
      <c r="AD6" s="153"/>
      <c r="AE6" s="153"/>
      <c r="AF6" s="153"/>
      <c r="AG6" s="153"/>
      <c r="AH6" s="153"/>
      <c r="AI6" s="153"/>
    </row>
    <row r="7" spans="1:35" ht="26.25" customHeight="1">
      <c r="A7" s="16"/>
      <c r="C7" s="20" t="str">
        <f>IF(Konfiguration_Configuration!B$2=Konfiguration_Configuration!L$1,'Testbericht_Rapport de test'!U7,'Testbericht_Rapport de test'!V7)</f>
        <v>1.   Allgemeine Testangaben</v>
      </c>
      <c r="U7" s="17" t="s">
        <v>84</v>
      </c>
      <c r="V7" s="17" t="s">
        <v>85</v>
      </c>
    </row>
    <row r="8" spans="1:35" ht="32.25" customHeight="1">
      <c r="A8" s="16"/>
      <c r="C8" s="295" t="str">
        <f>IF(Konfiguration_Configuration!B$2=Konfiguration_Configuration!L$1,'Testbericht_Rapport de test'!U8,'Testbericht_Rapport de test'!V8)</f>
        <v>Der vorliegende Bericht fasst die Ergebnisse des nachfolgend aufgeführten Tests zuhanden des Verbands zusammen.</v>
      </c>
      <c r="D8" s="295">
        <f>IF(Konfiguration_Configuration!C$2=Konfiguration_Configuration!M$1,'Testbericht_Rapport de test'!V8,'Testbericht_Rapport de test'!W8)</f>
        <v>0</v>
      </c>
      <c r="E8" s="295">
        <f>IF(Konfiguration_Configuration!D$2=Konfiguration_Configuration!N$1,'Testbericht_Rapport de test'!W8,'Testbericht_Rapport de test'!X8)</f>
        <v>0</v>
      </c>
      <c r="F8" s="295">
        <f>IF(Konfiguration_Configuration!E$2=Konfiguration_Configuration!O$1,'Testbericht_Rapport de test'!X8,'Testbericht_Rapport de test'!Y8)</f>
        <v>0</v>
      </c>
      <c r="G8" s="295">
        <f>IF(Konfiguration_Configuration!F$2=Konfiguration_Configuration!P$1,'Testbericht_Rapport de test'!Y8,'Testbericht_Rapport de test'!Z8)</f>
        <v>0</v>
      </c>
      <c r="H8" s="295">
        <f>IF(Konfiguration_Configuration!G$2=Konfiguration_Configuration!Q$1,'Testbericht_Rapport de test'!Z8,'Testbericht_Rapport de test'!AA8)</f>
        <v>0</v>
      </c>
      <c r="I8" s="295">
        <f>IF(Konfiguration_Configuration!H$2=Konfiguration_Configuration!R$1,'Testbericht_Rapport de test'!AA8,'Testbericht_Rapport de test'!AB8)</f>
        <v>0</v>
      </c>
      <c r="J8" s="295">
        <f>IF(Konfiguration_Configuration!I$2=Konfiguration_Configuration!S$1,'Testbericht_Rapport de test'!AB8,'Testbericht_Rapport de test'!AC8)</f>
        <v>0</v>
      </c>
      <c r="K8" s="295"/>
      <c r="L8" s="295">
        <f>IF(Konfiguration_Configuration!J$2=Konfiguration_Configuration!T$1,'Testbericht_Rapport de test'!AC8,'Testbericht_Rapport de test'!AD8)</f>
        <v>0</v>
      </c>
      <c r="M8" s="295">
        <f>IF(Konfiguration_Configuration!K$2=Konfiguration_Configuration!U$1,'Testbericht_Rapport de test'!AD8,'Testbericht_Rapport de test'!AE8)</f>
        <v>0</v>
      </c>
      <c r="N8" s="295">
        <f>IF(Konfiguration_Configuration!L$2=Konfiguration_Configuration!V$1,'Testbericht_Rapport de test'!AE8,'Testbericht_Rapport de test'!AF8)</f>
        <v>0</v>
      </c>
      <c r="O8" s="295">
        <f>IF(Konfiguration_Configuration!M$2=Konfiguration_Configuration!W$1,'Testbericht_Rapport de test'!AF8,'Testbericht_Rapport de test'!AG8)</f>
        <v>0</v>
      </c>
      <c r="P8" s="295">
        <f>IF(Konfiguration_Configuration!N$2=Konfiguration_Configuration!X$1,'Testbericht_Rapport de test'!AG8,'Testbericht_Rapport de test'!AH8)</f>
        <v>0</v>
      </c>
      <c r="Q8" s="295">
        <f>IF(Konfiguration_Configuration!O$2=Konfiguration_Configuration!Y$1,'Testbericht_Rapport de test'!AH8,'Testbericht_Rapport de test'!AI8)</f>
        <v>0</v>
      </c>
      <c r="U8" s="27" t="s">
        <v>86</v>
      </c>
      <c r="V8" s="27" t="s">
        <v>87</v>
      </c>
      <c r="W8" s="27"/>
      <c r="X8" s="27"/>
      <c r="Y8" s="27"/>
      <c r="Z8" s="27"/>
      <c r="AA8" s="27"/>
      <c r="AB8" s="27"/>
      <c r="AC8" s="27"/>
      <c r="AD8" s="27"/>
      <c r="AE8" s="27"/>
      <c r="AF8" s="27"/>
      <c r="AG8" s="27"/>
      <c r="AH8" s="27"/>
      <c r="AI8" s="27"/>
    </row>
    <row r="9" spans="1:35" ht="20.25" customHeight="1">
      <c r="A9" s="16"/>
      <c r="C9" s="17" t="str">
        <f>Konfiguration_Configuration!E3</f>
        <v>Testname</v>
      </c>
      <c r="F9" s="299" t="str">
        <f>IF(Konfiguration_Configuration!B3="","",Konfiguration_Configuration!B3)</f>
        <v>SIS Inter-Bronze Stiltest</v>
      </c>
      <c r="G9" s="299"/>
      <c r="H9" s="299"/>
      <c r="I9" s="299"/>
      <c r="J9" s="299"/>
      <c r="K9" s="299"/>
      <c r="L9" s="299"/>
      <c r="M9" s="299"/>
      <c r="N9" s="299"/>
      <c r="O9" s="299"/>
      <c r="P9" s="299"/>
      <c r="Q9" s="299"/>
    </row>
    <row r="10" spans="1:35" ht="20.25" customHeight="1">
      <c r="A10" s="16"/>
      <c r="C10" s="17" t="str">
        <f>Konfiguration_Configuration!E4</f>
        <v>Austragungsort</v>
      </c>
      <c r="F10" s="299" t="str">
        <f>IF(Konfiguration_Configuration!B4="","",Konfiguration_Configuration!B4)</f>
        <v/>
      </c>
      <c r="G10" s="299"/>
      <c r="H10" s="299"/>
      <c r="I10" s="99"/>
      <c r="J10" s="99"/>
      <c r="K10" s="99"/>
      <c r="L10" s="99"/>
      <c r="M10" s="99"/>
      <c r="N10" s="99"/>
      <c r="O10" s="99"/>
      <c r="P10" s="99"/>
      <c r="Q10" s="99"/>
    </row>
    <row r="11" spans="1:35" ht="20.25" customHeight="1">
      <c r="A11" s="16"/>
      <c r="C11" s="17" t="str">
        <f>Konfiguration_Configuration!E5</f>
        <v>Datum</v>
      </c>
      <c r="F11" s="310" t="str">
        <f>IF(Konfiguration_Configuration!B5="","",Konfiguration_Configuration!B5)</f>
        <v/>
      </c>
      <c r="G11" s="310"/>
      <c r="H11" s="310"/>
      <c r="I11" s="149"/>
      <c r="J11" s="149"/>
      <c r="K11" s="149"/>
      <c r="L11" s="149"/>
      <c r="M11" s="149"/>
      <c r="N11" s="149"/>
      <c r="O11" s="149"/>
      <c r="P11" s="149"/>
      <c r="Q11" s="149"/>
    </row>
    <row r="12" spans="1:35" ht="20.25" customHeight="1">
      <c r="A12" s="16"/>
      <c r="C12" s="17" t="str">
        <f>Konfiguration_Configuration!E6</f>
        <v>Testklasse</v>
      </c>
      <c r="F12" s="296">
        <f>IF(Konfiguration_Configuration!B6="","",Konfiguration_Configuration!B6)</f>
        <v>6</v>
      </c>
      <c r="G12" s="296"/>
      <c r="H12" s="296"/>
      <c r="I12" s="99"/>
      <c r="J12" s="99"/>
      <c r="K12" s="99"/>
      <c r="L12" s="99"/>
      <c r="M12" s="99"/>
      <c r="N12" s="99"/>
      <c r="O12" s="99"/>
      <c r="P12" s="99"/>
      <c r="Q12" s="99"/>
    </row>
    <row r="13" spans="1:35" ht="29.25" customHeight="1">
      <c r="A13" s="16"/>
      <c r="C13" s="17" t="s">
        <v>88</v>
      </c>
      <c r="F13" s="299" t="str">
        <f>IF(Konfiguration_Configuration!B7="","",Konfiguration_Configuration!B7)</f>
        <v/>
      </c>
      <c r="G13" s="299"/>
      <c r="H13" s="299"/>
      <c r="I13" s="299"/>
      <c r="J13" s="299"/>
      <c r="K13" s="299"/>
      <c r="L13" s="299"/>
      <c r="M13" s="299"/>
      <c r="N13" s="299"/>
      <c r="O13" s="299"/>
      <c r="P13" s="299"/>
      <c r="Q13" s="299"/>
    </row>
    <row r="14" spans="1:35" ht="41.25" customHeight="1">
      <c r="A14" s="16"/>
      <c r="C14" s="295" t="str">
        <f>IF(Konfiguration_Configuration!B$2=Konfiguration_Configuration!L$1,'Testbericht_Rapport de test'!U14,'Testbericht_Rapport de test'!V14)</f>
        <v>Die vom SIS verabschiedeten Reglemente sind anzuwenden.</v>
      </c>
      <c r="D14" s="295">
        <f>IF(Konfiguration_Configuration!C$2=Konfiguration_Configuration!M$1,'Testbericht_Rapport de test'!V14,'Testbericht_Rapport de test'!W14)</f>
        <v>0</v>
      </c>
      <c r="E14" s="295">
        <f>IF(Konfiguration_Configuration!D$2=Konfiguration_Configuration!N$1,'Testbericht_Rapport de test'!W14,'Testbericht_Rapport de test'!X14)</f>
        <v>0</v>
      </c>
      <c r="F14" s="295">
        <f>IF(Konfiguration_Configuration!E$2=Konfiguration_Configuration!O$1,'Testbericht_Rapport de test'!X14,'Testbericht_Rapport de test'!Y14)</f>
        <v>0</v>
      </c>
      <c r="G14" s="295">
        <f>IF(Konfiguration_Configuration!F$2=Konfiguration_Configuration!P$1,'Testbericht_Rapport de test'!Y14,'Testbericht_Rapport de test'!Z14)</f>
        <v>0</v>
      </c>
      <c r="H14" s="295">
        <f>IF(Konfiguration_Configuration!G$2=Konfiguration_Configuration!Q$1,'Testbericht_Rapport de test'!Z14,'Testbericht_Rapport de test'!AA14)</f>
        <v>0</v>
      </c>
      <c r="I14" s="295">
        <f>IF(Konfiguration_Configuration!H$2=Konfiguration_Configuration!R$1,'Testbericht_Rapport de test'!AA14,'Testbericht_Rapport de test'!AB14)</f>
        <v>0</v>
      </c>
      <c r="J14" s="295">
        <f>IF(Konfiguration_Configuration!I$2=Konfiguration_Configuration!S$1,'Testbericht_Rapport de test'!AB14,'Testbericht_Rapport de test'!AC14)</f>
        <v>0</v>
      </c>
      <c r="K14" s="295"/>
      <c r="L14" s="295">
        <f>IF(Konfiguration_Configuration!J$2=Konfiguration_Configuration!T$1,'Testbericht_Rapport de test'!AC14,'Testbericht_Rapport de test'!AD14)</f>
        <v>0</v>
      </c>
      <c r="M14" s="295">
        <f>IF(Konfiguration_Configuration!K$2=Konfiguration_Configuration!U$1,'Testbericht_Rapport de test'!AD14,'Testbericht_Rapport de test'!AE14)</f>
        <v>0</v>
      </c>
      <c r="N14" s="295">
        <f>IF(Konfiguration_Configuration!L$2=Konfiguration_Configuration!V$1,'Testbericht_Rapport de test'!AE14,'Testbericht_Rapport de test'!AF14)</f>
        <v>0</v>
      </c>
      <c r="O14" s="295">
        <f>IF(Konfiguration_Configuration!M$2=Konfiguration_Configuration!W$1,'Testbericht_Rapport de test'!AF14,'Testbericht_Rapport de test'!AG14)</f>
        <v>0</v>
      </c>
      <c r="P14" s="295">
        <f>IF(Konfiguration_Configuration!N$2=Konfiguration_Configuration!X$1,'Testbericht_Rapport de test'!AG14,'Testbericht_Rapport de test'!AH14)</f>
        <v>0</v>
      </c>
      <c r="Q14" s="295">
        <f>IF(Konfiguration_Configuration!O$2=Konfiguration_Configuration!Y$1,'Testbericht_Rapport de test'!AH14,'Testbericht_Rapport de test'!AI14)</f>
        <v>0</v>
      </c>
      <c r="U14" s="27" t="s">
        <v>89</v>
      </c>
      <c r="V14" s="27" t="s">
        <v>90</v>
      </c>
      <c r="W14" s="27"/>
      <c r="X14" s="27"/>
      <c r="Y14" s="27"/>
      <c r="Z14" s="27"/>
      <c r="AA14" s="27"/>
      <c r="AB14" s="27"/>
      <c r="AC14" s="27"/>
      <c r="AD14" s="27"/>
      <c r="AE14" s="27"/>
      <c r="AF14" s="27"/>
      <c r="AG14" s="27"/>
      <c r="AH14" s="27"/>
      <c r="AI14" s="27"/>
    </row>
    <row r="15" spans="1:35" ht="26.25" customHeight="1">
      <c r="A15" s="16"/>
      <c r="C15" s="20" t="str">
        <f>IF(Konfiguration_Configuration!B$2=Konfiguration_Configuration!L$1,'Testbericht_Rapport de test'!U15,'Testbericht_Rapport de test'!V15)</f>
        <v>2.   Schiedsrichter und Spezialisten</v>
      </c>
      <c r="D15" s="20"/>
      <c r="E15" s="20"/>
      <c r="F15" s="20"/>
      <c r="G15" s="20"/>
      <c r="H15" s="20"/>
      <c r="I15" s="20"/>
      <c r="J15" s="20"/>
      <c r="K15" s="20"/>
      <c r="L15" s="20"/>
      <c r="M15" s="20"/>
      <c r="N15" s="20"/>
      <c r="O15" s="20"/>
      <c r="P15" s="20"/>
      <c r="Q15" s="20"/>
      <c r="U15" s="17" t="s">
        <v>91</v>
      </c>
      <c r="V15" s="27" t="s">
        <v>92</v>
      </c>
    </row>
    <row r="16" spans="1:35">
      <c r="A16" s="16"/>
      <c r="C16" s="64"/>
      <c r="D16" s="65"/>
      <c r="E16" s="65"/>
      <c r="F16" s="65"/>
      <c r="G16" s="65"/>
      <c r="H16" s="65"/>
      <c r="I16" s="65"/>
      <c r="J16" s="65"/>
      <c r="K16" s="65"/>
      <c r="L16" s="65"/>
      <c r="M16" s="65"/>
      <c r="N16" s="65"/>
      <c r="O16" s="65"/>
      <c r="P16" s="65"/>
      <c r="Q16" s="66"/>
      <c r="U16" s="27" t="s">
        <v>93</v>
      </c>
      <c r="V16" s="27" t="s">
        <v>94</v>
      </c>
    </row>
    <row r="17" spans="1:25">
      <c r="A17" s="16"/>
      <c r="C17" s="67" t="str">
        <f>IF(Konfiguration_Configuration!B$2=Konfiguration_Configuration!L$1,'Testbericht_Rapport de test'!U16,'Testbericht_Rapport de test'!V16)</f>
        <v>Funktion</v>
      </c>
      <c r="D17" s="68"/>
      <c r="E17" s="68"/>
      <c r="F17" s="69" t="str">
        <f>IF(Konfiguration_Configuration!B$2=Konfiguration_Configuration!L$1,'Testbericht_Rapport de test'!U17,'Testbericht_Rapport de test'!V17)</f>
        <v>Name</v>
      </c>
      <c r="G17" s="68"/>
      <c r="H17" s="68"/>
      <c r="I17" s="68"/>
      <c r="J17" s="68"/>
      <c r="K17" s="68"/>
      <c r="L17" s="69" t="str">
        <f>IF(Konfiguration_Configuration!B$2=Konfiguration_Configuration!L$1,'Testbericht_Rapport de test'!U18,'Testbericht_Rapport de test'!V18)</f>
        <v>Klub</v>
      </c>
      <c r="M17" s="68"/>
      <c r="N17" s="68"/>
      <c r="O17" s="68"/>
      <c r="P17" s="69" t="str">
        <f>IF(Konfiguration_Configuration!B$2=Konfiguration_Configuration!L$1,'Testbericht_Rapport de test'!U19,'Testbericht_Rapport de test'!V19)</f>
        <v>Klasse</v>
      </c>
      <c r="Q17" s="237"/>
      <c r="U17" s="27" t="s">
        <v>37</v>
      </c>
      <c r="V17" s="27" t="s">
        <v>38</v>
      </c>
    </row>
    <row r="18" spans="1:25" ht="15.6">
      <c r="A18" s="16"/>
      <c r="C18" s="48" t="str">
        <f>Konfiguration_Configuration!J12</f>
        <v>SchiedsrichterIn</v>
      </c>
      <c r="F18" s="325" t="str">
        <f>IF(Konfiguration_Configuration!$B12="","",Konfiguration_Configuration!$B12)</f>
        <v/>
      </c>
      <c r="G18" s="326"/>
      <c r="H18" s="326"/>
      <c r="I18" s="326"/>
      <c r="J18" s="326"/>
      <c r="K18" s="326"/>
      <c r="L18" s="325" t="str">
        <f>IF(Konfiguration_Configuration!$E12="","",Konfiguration_Configuration!$E12)</f>
        <v/>
      </c>
      <c r="M18" s="326"/>
      <c r="N18" s="326"/>
      <c r="O18" s="326"/>
      <c r="P18" s="320" t="str">
        <f>IF(Konfiguration_Configuration!$H12="","",Konfiguration_Configuration!$H12)</f>
        <v/>
      </c>
      <c r="Q18" s="321"/>
      <c r="U18" s="27" t="s">
        <v>19</v>
      </c>
      <c r="V18" s="27" t="s">
        <v>20</v>
      </c>
    </row>
    <row r="19" spans="1:25" ht="15.6">
      <c r="A19" s="16"/>
      <c r="C19" s="48" t="str">
        <f>Konfiguration_Configuration!J13</f>
        <v>PreisrichterIn 2</v>
      </c>
      <c r="F19" s="322" t="str">
        <f>IF(Konfiguration_Configuration!$B13="","",Konfiguration_Configuration!$B13)</f>
        <v/>
      </c>
      <c r="G19" s="327"/>
      <c r="H19" s="327"/>
      <c r="I19" s="327"/>
      <c r="J19" s="327"/>
      <c r="K19" s="327"/>
      <c r="L19" s="322" t="str">
        <f>IF(Konfiguration_Configuration!$E13="","",Konfiguration_Configuration!$E13)</f>
        <v/>
      </c>
      <c r="M19" s="327"/>
      <c r="N19" s="327"/>
      <c r="O19" s="327"/>
      <c r="P19" s="322" t="str">
        <f>IF(Konfiguration_Configuration!$H13="","",Konfiguration_Configuration!$H13)</f>
        <v/>
      </c>
      <c r="Q19" s="323"/>
      <c r="U19" s="27" t="s">
        <v>21</v>
      </c>
      <c r="V19" s="27" t="s">
        <v>22</v>
      </c>
    </row>
    <row r="20" spans="1:25" ht="15.6">
      <c r="A20" s="16"/>
      <c r="C20" s="48" t="str">
        <f>Konfiguration_Configuration!J14</f>
        <v>PreisrichterIn 3</v>
      </c>
      <c r="F20" s="322" t="str">
        <f>IF(Konfiguration_Configuration!$B14="","",Konfiguration_Configuration!$B14)</f>
        <v/>
      </c>
      <c r="G20" s="327"/>
      <c r="H20" s="327"/>
      <c r="I20" s="327"/>
      <c r="J20" s="327"/>
      <c r="K20" s="327"/>
      <c r="L20" s="322" t="str">
        <f>IF(Konfiguration_Configuration!$E14="","",Konfiguration_Configuration!$E14)</f>
        <v/>
      </c>
      <c r="M20" s="327"/>
      <c r="N20" s="327"/>
      <c r="O20" s="327"/>
      <c r="P20" s="322" t="str">
        <f>IF(Konfiguration_Configuration!$H14="","",Konfiguration_Configuration!$H14)</f>
        <v/>
      </c>
      <c r="Q20" s="323"/>
    </row>
    <row r="21" spans="1:25" ht="15.6">
      <c r="A21" s="16"/>
      <c r="C21" s="48" t="str">
        <f>Konfiguration_Configuration!J15</f>
        <v>Verantwortliche/r der Tests</v>
      </c>
      <c r="F21" s="322" t="str">
        <f>IF(Konfiguration_Configuration!$B15="","",Konfiguration_Configuration!$B15)</f>
        <v/>
      </c>
      <c r="G21" s="327"/>
      <c r="H21" s="327"/>
      <c r="I21" s="327"/>
      <c r="J21" s="327"/>
      <c r="K21" s="327"/>
      <c r="L21" s="322" t="str">
        <f>IF(Konfiguration_Configuration!$E15="","",Konfiguration_Configuration!$E15)</f>
        <v/>
      </c>
      <c r="M21" s="327"/>
      <c r="N21" s="327"/>
      <c r="O21" s="327"/>
      <c r="P21" s="322" t="str">
        <f>IF(Konfiguration_Configuration!$H15="","",Konfiguration_Configuration!$H15)</f>
        <v/>
      </c>
      <c r="Q21" s="323"/>
    </row>
    <row r="22" spans="1:25" ht="15.6">
      <c r="A22" s="16"/>
      <c r="C22" s="48" t="str">
        <f>Konfiguration_Configuration!J18</f>
        <v>RechnungsführerIn</v>
      </c>
      <c r="F22" s="307" t="str">
        <f>IF(Konfiguration_Configuration!$B18="","",Konfiguration_Configuration!$B18)</f>
        <v/>
      </c>
      <c r="G22" s="308"/>
      <c r="H22" s="308"/>
      <c r="I22" s="308"/>
      <c r="J22" s="308"/>
      <c r="K22" s="308"/>
      <c r="L22" s="307" t="str">
        <f>IF(Konfiguration_Configuration!$E18="","",Konfiguration_Configuration!$E18)</f>
        <v/>
      </c>
      <c r="M22" s="308"/>
      <c r="N22" s="308"/>
      <c r="O22" s="308"/>
      <c r="P22" s="307" t="str">
        <f>IF(Konfiguration_Configuration!$H18="","",Konfiguration_Configuration!$H18)</f>
        <v/>
      </c>
      <c r="Q22" s="324"/>
    </row>
    <row r="23" spans="1:25" ht="24.75" customHeight="1">
      <c r="A23" s="16"/>
      <c r="C23" s="21"/>
      <c r="D23" s="21"/>
      <c r="E23" s="21"/>
      <c r="F23" s="21"/>
      <c r="G23" s="21"/>
      <c r="H23" s="21"/>
      <c r="I23" s="21"/>
      <c r="J23" s="21"/>
      <c r="K23" s="21"/>
      <c r="L23" s="21"/>
      <c r="M23" s="21"/>
      <c r="N23" s="21"/>
      <c r="O23" s="21"/>
      <c r="P23" s="21"/>
      <c r="Q23" s="21"/>
    </row>
    <row r="24" spans="1:25" ht="19.5" customHeight="1">
      <c r="A24" s="16"/>
      <c r="C24" s="20" t="str">
        <f>IF(Konfiguration_Configuration!B$2=Konfiguration_Configuration!L$1,'Testbericht_Rapport de test'!U27,'Testbericht_Rapport de test'!V27)</f>
        <v>3.   Teilnehmende und erreichte Punkte</v>
      </c>
      <c r="U24" s="27" t="s">
        <v>95</v>
      </c>
      <c r="V24" s="27" t="s">
        <v>96</v>
      </c>
    </row>
    <row r="25" spans="1:25" ht="15.75" customHeight="1">
      <c r="A25" s="16"/>
      <c r="C25" s="20"/>
      <c r="L25" s="17" t="str">
        <f>IF(Konfiguration_Configuration!B$2=Konfiguration_Configuration!L$1,'Testbericht_Rapport de test'!U33,'Testbericht_Rapport de test'!V33)</f>
        <v>Elemente bestanden</v>
      </c>
      <c r="S25" s="27"/>
      <c r="U25" s="15" t="s">
        <v>97</v>
      </c>
      <c r="V25" s="15" t="s">
        <v>98</v>
      </c>
      <c r="W25" s="27"/>
      <c r="X25" s="27"/>
      <c r="Y25" s="27"/>
    </row>
    <row r="26" spans="1:25" ht="30">
      <c r="A26" s="16"/>
      <c r="C26" s="61" t="str">
        <f>IF(Konfiguration_Configuration!B$2=Konfiguration_Configuration!L$1,'Testbericht_Rapport de test'!U28,'Testbericht_Rapport de test'!V28)</f>
        <v>Nr</v>
      </c>
      <c r="D26" s="63" t="str">
        <f>IF(Konfiguration_Configuration!B$2=Konfiguration_Configuration!L$1,'Testbericht_Rapport de test'!U17,'Testbericht_Rapport de test'!V17)</f>
        <v>Name</v>
      </c>
      <c r="E26" s="62"/>
      <c r="F26" s="62"/>
      <c r="G26" s="63" t="str">
        <f>IF(Konfiguration_Configuration!B$2=Konfiguration_Configuration!L$1,'Testbericht_Rapport de test'!U18,'Testbericht_Rapport de test'!V18)</f>
        <v>Klub</v>
      </c>
      <c r="H26" s="62"/>
      <c r="I26" s="62"/>
      <c r="J26" s="62"/>
      <c r="K26" s="62"/>
      <c r="L26" s="332" t="str">
        <f>IF(Konfiguration_Configuration!B$2=Konfiguration_Configuration!L$1,'Testbericht_Rapport de test'!U$37,'Testbericht_Rapport de test'!V$37)</f>
        <v>1. Teil</v>
      </c>
      <c r="M26" s="333"/>
      <c r="N26" s="334"/>
      <c r="O26" s="335" t="str">
        <f>IF(Konfiguration_Configuration!B$2=Konfiguration_Configuration!L$1,'Testbericht_Rapport de test'!U$38,'Testbericht_Rapport de test'!V$38)</f>
        <v>2. Teil</v>
      </c>
      <c r="P26" s="334"/>
      <c r="Q26" s="109" t="str">
        <f>IF(Konfiguration_Configuration!B$2=Konfiguration_Configuration!L$1,'Testbericht_Rapport de test'!U34,'Testbericht_Rapport de test'!V34)</f>
        <v>Lizenz-nummer</v>
      </c>
    </row>
    <row r="27" spans="1:25" ht="15.6">
      <c r="A27" s="16"/>
      <c r="C27" s="249">
        <v>1</v>
      </c>
      <c r="D27" s="314" t="str" cm="1">
        <f t="array" aca="1" ref="D27" ca="1">IF(INDIRECT("Konfiguration_Configuration!B"&amp;C27+21)="","",INDIRECT("Konfiguration_Configuration!B"&amp;C27+21))</f>
        <v/>
      </c>
      <c r="E27" s="315"/>
      <c r="F27" s="316"/>
      <c r="G27" s="314" t="str" cm="1">
        <f t="array" aca="1" ref="G27" ca="1">IF(INDIRECT("Konfiguration_Configuration!E"&amp;C27+21)="","",INDIRECT("Konfiguration_Configuration!E"&amp;C27+21))</f>
        <v/>
      </c>
      <c r="H27" s="315"/>
      <c r="I27" s="315"/>
      <c r="J27" s="315"/>
      <c r="K27" s="316"/>
      <c r="L27" s="312"/>
      <c r="M27" s="270"/>
      <c r="N27" s="271"/>
      <c r="O27" s="312"/>
      <c r="P27" s="313"/>
      <c r="Q27" s="250" t="str" cm="1">
        <f t="array" aca="1" ref="Q27" ca="1">IF(INDIRECT("Konfiguration_Configuration!H"&amp;C27+21)="","",INDIRECT("Konfiguration_Configuration!H"&amp;C27+21))</f>
        <v/>
      </c>
      <c r="U27" s="27" t="s">
        <v>99</v>
      </c>
      <c r="V27" s="27" t="s">
        <v>100</v>
      </c>
    </row>
    <row r="28" spans="1:25" ht="15" customHeight="1">
      <c r="A28" s="16"/>
      <c r="C28" s="249">
        <v>2</v>
      </c>
      <c r="D28" s="314" t="str" cm="1">
        <f t="array" aca="1" ref="D28" ca="1">IF(INDIRECT("Konfiguration_Configuration!B"&amp;C28+21)="","",INDIRECT("Konfiguration_Configuration!B"&amp;C28+21))</f>
        <v/>
      </c>
      <c r="E28" s="315"/>
      <c r="F28" s="316"/>
      <c r="G28" s="314" t="str" cm="1">
        <f t="array" aca="1" ref="G28" ca="1">IF(INDIRECT("Konfiguration_Configuration!E"&amp;C28+21)="","",INDIRECT("Konfiguration_Configuration!E"&amp;C28+21))</f>
        <v/>
      </c>
      <c r="H28" s="315"/>
      <c r="I28" s="315"/>
      <c r="J28" s="315"/>
      <c r="K28" s="316"/>
      <c r="L28" s="312"/>
      <c r="M28" s="270"/>
      <c r="N28" s="271"/>
      <c r="O28" s="312"/>
      <c r="P28" s="313"/>
      <c r="Q28" s="250" t="str" cm="1">
        <f t="array" aca="1" ref="Q28" ca="1">IF(INDIRECT("Konfiguration_Configuration!H"&amp;C28+21)="","",INDIRECT("Konfiguration_Configuration!H"&amp;C28+21))</f>
        <v/>
      </c>
      <c r="U28" s="27" t="s">
        <v>101</v>
      </c>
      <c r="V28" s="27" t="s">
        <v>102</v>
      </c>
    </row>
    <row r="29" spans="1:25" ht="15.6">
      <c r="A29" s="16"/>
      <c r="C29" s="249">
        <v>3</v>
      </c>
      <c r="D29" s="314" t="str" cm="1">
        <f t="array" aca="1" ref="D29" ca="1">IF(INDIRECT("Konfiguration_Configuration!B"&amp;C29+21)="","",INDIRECT("Konfiguration_Configuration!B"&amp;C29+21))</f>
        <v/>
      </c>
      <c r="E29" s="315"/>
      <c r="F29" s="316"/>
      <c r="G29" s="314" t="str" cm="1">
        <f t="array" aca="1" ref="G29" ca="1">IF(INDIRECT("Konfiguration_Configuration!E"&amp;C29+21)="","",INDIRECT("Konfiguration_Configuration!E"&amp;C29+21))</f>
        <v/>
      </c>
      <c r="H29" s="315"/>
      <c r="I29" s="315"/>
      <c r="J29" s="315"/>
      <c r="K29" s="316"/>
      <c r="L29" s="312"/>
      <c r="M29" s="270"/>
      <c r="N29" s="271"/>
      <c r="O29" s="312"/>
      <c r="P29" s="313"/>
      <c r="Q29" s="250" t="str" cm="1">
        <f t="array" aca="1" ref="Q29" ca="1">IF(INDIRECT("Konfiguration_Configuration!H"&amp;C29+21)="","",INDIRECT("Konfiguration_Configuration!H"&amp;C29+21))</f>
        <v/>
      </c>
      <c r="U29" s="27" t="s">
        <v>103</v>
      </c>
      <c r="V29" s="27" t="s">
        <v>104</v>
      </c>
    </row>
    <row r="30" spans="1:25" ht="15.6">
      <c r="A30" s="2"/>
      <c r="B30" s="1"/>
      <c r="C30" s="249">
        <v>4</v>
      </c>
      <c r="D30" s="314" t="str" cm="1">
        <f t="array" aca="1" ref="D30" ca="1">IF(INDIRECT("Konfiguration_Configuration!B"&amp;C30+21)="","",INDIRECT("Konfiguration_Configuration!B"&amp;C30+21))</f>
        <v/>
      </c>
      <c r="E30" s="315"/>
      <c r="F30" s="316"/>
      <c r="G30" s="314" t="str" cm="1">
        <f t="array" aca="1" ref="G30" ca="1">IF(INDIRECT("Konfiguration_Configuration!E"&amp;C30+21)="","",INDIRECT("Konfiguration_Configuration!E"&amp;C30+21))</f>
        <v/>
      </c>
      <c r="H30" s="315"/>
      <c r="I30" s="315"/>
      <c r="J30" s="315"/>
      <c r="K30" s="316"/>
      <c r="L30" s="312"/>
      <c r="M30" s="270"/>
      <c r="N30" s="271"/>
      <c r="O30" s="312"/>
      <c r="P30" s="313"/>
      <c r="Q30" s="250" t="str" cm="1">
        <f t="array" aca="1" ref="Q30" ca="1">IF(INDIRECT("Konfiguration_Configuration!H"&amp;C30+21)="","",INDIRECT("Konfiguration_Configuration!H"&amp;C30+21))</f>
        <v/>
      </c>
      <c r="R30" s="1"/>
      <c r="U30" s="27" t="s">
        <v>105</v>
      </c>
      <c r="V30" s="27" t="s">
        <v>106</v>
      </c>
    </row>
    <row r="31" spans="1:25" s="1" customFormat="1" ht="15.6">
      <c r="A31" s="2"/>
      <c r="C31" s="249">
        <v>5</v>
      </c>
      <c r="D31" s="314" t="str" cm="1">
        <f t="array" aca="1" ref="D31" ca="1">IF(INDIRECT("Konfiguration_Configuration!B"&amp;C31+21)="","",INDIRECT("Konfiguration_Configuration!B"&amp;C31+21))</f>
        <v/>
      </c>
      <c r="E31" s="315"/>
      <c r="F31" s="316"/>
      <c r="G31" s="314" t="str" cm="1">
        <f t="array" aca="1" ref="G31" ca="1">IF(INDIRECT("Konfiguration_Configuration!E"&amp;C31+21)="","",INDIRECT("Konfiguration_Configuration!E"&amp;C31+21))</f>
        <v/>
      </c>
      <c r="H31" s="315"/>
      <c r="I31" s="315"/>
      <c r="J31" s="315"/>
      <c r="K31" s="316"/>
      <c r="L31" s="312"/>
      <c r="M31" s="270"/>
      <c r="N31" s="271"/>
      <c r="O31" s="312"/>
      <c r="P31" s="313"/>
      <c r="Q31" s="250" t="str" cm="1">
        <f t="array" aca="1" ref="Q31" ca="1">IF(INDIRECT("Konfiguration_Configuration!H"&amp;C31+21)="","",INDIRECT("Konfiguration_Configuration!H"&amp;C31+21))</f>
        <v/>
      </c>
      <c r="T31" s="3"/>
      <c r="U31" s="27" t="s">
        <v>107</v>
      </c>
      <c r="V31" s="27" t="s">
        <v>108</v>
      </c>
      <c r="W31" s="17"/>
    </row>
    <row r="32" spans="1:25" s="1" customFormat="1" ht="15.6">
      <c r="A32" s="2"/>
      <c r="C32" s="249">
        <v>6</v>
      </c>
      <c r="D32" s="314" t="str" cm="1">
        <f t="array" aca="1" ref="D32" ca="1">IF(INDIRECT("Konfiguration_Configuration!B"&amp;C32+21)="","",INDIRECT("Konfiguration_Configuration!B"&amp;C32+21))</f>
        <v/>
      </c>
      <c r="E32" s="315"/>
      <c r="F32" s="316"/>
      <c r="G32" s="314" t="str" cm="1">
        <f t="array" aca="1" ref="G32" ca="1">IF(INDIRECT("Konfiguration_Configuration!E"&amp;C32+21)="","",INDIRECT("Konfiguration_Configuration!E"&amp;C32+21))</f>
        <v/>
      </c>
      <c r="H32" s="315"/>
      <c r="I32" s="315"/>
      <c r="J32" s="315"/>
      <c r="K32" s="316"/>
      <c r="L32" s="312"/>
      <c r="M32" s="270"/>
      <c r="N32" s="271"/>
      <c r="O32" s="312"/>
      <c r="P32" s="313"/>
      <c r="Q32" s="250" t="str" cm="1">
        <f t="array" aca="1" ref="Q32" ca="1">IF(INDIRECT("Konfiguration_Configuration!H"&amp;C32+21)="","",INDIRECT("Konfiguration_Configuration!H"&amp;C32+21))</f>
        <v/>
      </c>
      <c r="T32" s="3"/>
      <c r="U32" s="27" t="s">
        <v>109</v>
      </c>
      <c r="V32" s="27" t="s">
        <v>109</v>
      </c>
      <c r="W32" s="17"/>
    </row>
    <row r="33" spans="1:23" s="1" customFormat="1" ht="15.6">
      <c r="A33" s="16"/>
      <c r="B33" s="17"/>
      <c r="C33" s="249">
        <v>7</v>
      </c>
      <c r="D33" s="314" t="str" cm="1">
        <f t="array" aca="1" ref="D33" ca="1">IF(INDIRECT("Konfiguration_Configuration!B"&amp;C33+21)="","",INDIRECT("Konfiguration_Configuration!B"&amp;C33+21))</f>
        <v/>
      </c>
      <c r="E33" s="315"/>
      <c r="F33" s="316"/>
      <c r="G33" s="314" t="str" cm="1">
        <f t="array" aca="1" ref="G33" ca="1">IF(INDIRECT("Konfiguration_Configuration!E"&amp;C33+21)="","",INDIRECT("Konfiguration_Configuration!E"&amp;C33+21))</f>
        <v/>
      </c>
      <c r="H33" s="315"/>
      <c r="I33" s="315"/>
      <c r="J33" s="315"/>
      <c r="K33" s="316"/>
      <c r="L33" s="312"/>
      <c r="M33" s="270"/>
      <c r="N33" s="271"/>
      <c r="O33" s="312"/>
      <c r="P33" s="313"/>
      <c r="Q33" s="250" t="str" cm="1">
        <f t="array" aca="1" ref="Q33" ca="1">IF(INDIRECT("Konfiguration_Configuration!H"&amp;C33+21)="","",INDIRECT("Konfiguration_Configuration!H"&amp;C33+21))</f>
        <v/>
      </c>
      <c r="R33" s="17"/>
      <c r="T33" s="3"/>
      <c r="U33" s="27" t="s">
        <v>110</v>
      </c>
      <c r="V33" s="27" t="s">
        <v>111</v>
      </c>
      <c r="W33" s="17"/>
    </row>
    <row r="34" spans="1:23" s="1" customFormat="1" ht="15.6">
      <c r="A34" s="16"/>
      <c r="B34" s="17"/>
      <c r="C34" s="249">
        <v>8</v>
      </c>
      <c r="D34" s="314" t="str" cm="1">
        <f t="array" aca="1" ref="D34" ca="1">IF(INDIRECT("Konfiguration_Configuration!B"&amp;C34+21)="","",INDIRECT("Konfiguration_Configuration!B"&amp;C34+21))</f>
        <v/>
      </c>
      <c r="E34" s="315"/>
      <c r="F34" s="316"/>
      <c r="G34" s="314" t="str" cm="1">
        <f t="array" aca="1" ref="G34" ca="1">IF(INDIRECT("Konfiguration_Configuration!E"&amp;C34+21)="","",INDIRECT("Konfiguration_Configuration!E"&amp;C34+21))</f>
        <v/>
      </c>
      <c r="H34" s="315"/>
      <c r="I34" s="315"/>
      <c r="J34" s="315"/>
      <c r="K34" s="316"/>
      <c r="L34" s="312"/>
      <c r="M34" s="270"/>
      <c r="N34" s="271"/>
      <c r="O34" s="312"/>
      <c r="P34" s="313"/>
      <c r="Q34" s="250" t="str" cm="1">
        <f t="array" aca="1" ref="Q34" ca="1">IF(INDIRECT("Konfiguration_Configuration!H"&amp;C34+21)="","",INDIRECT("Konfiguration_Configuration!H"&amp;C34+21))</f>
        <v/>
      </c>
      <c r="R34" s="17"/>
      <c r="T34" s="3"/>
      <c r="U34" s="27" t="s">
        <v>39</v>
      </c>
      <c r="V34" s="27" t="s">
        <v>112</v>
      </c>
      <c r="W34" s="17"/>
    </row>
    <row r="35" spans="1:23" ht="15.6">
      <c r="A35" s="16"/>
      <c r="C35" s="249">
        <v>9</v>
      </c>
      <c r="D35" s="314" t="str" cm="1">
        <f t="array" aca="1" ref="D35" ca="1">IF(INDIRECT("Konfiguration_Configuration!B"&amp;C35+21)="","",INDIRECT("Konfiguration_Configuration!B"&amp;C35+21))</f>
        <v/>
      </c>
      <c r="E35" s="315"/>
      <c r="F35" s="316"/>
      <c r="G35" s="314" t="str" cm="1">
        <f t="array" aca="1" ref="G35" ca="1">IF(INDIRECT("Konfiguration_Configuration!E"&amp;C35+21)="","",INDIRECT("Konfiguration_Configuration!E"&amp;C35+21))</f>
        <v/>
      </c>
      <c r="H35" s="315"/>
      <c r="I35" s="315"/>
      <c r="J35" s="315"/>
      <c r="K35" s="316"/>
      <c r="L35" s="312"/>
      <c r="M35" s="270"/>
      <c r="N35" s="271"/>
      <c r="O35" s="312"/>
      <c r="P35" s="313"/>
      <c r="Q35" s="250" t="str" cm="1">
        <f t="array" aca="1" ref="Q35" ca="1">IF(INDIRECT("Konfiguration_Configuration!H"&amp;C35+21)="","",INDIRECT("Konfiguration_Configuration!H"&amp;C35+21))</f>
        <v/>
      </c>
      <c r="U35" s="27" t="s">
        <v>113</v>
      </c>
      <c r="V35" s="27" t="s">
        <v>114</v>
      </c>
      <c r="W35" s="17" t="str">
        <f>IF(Konfiguration_Configuration!B2=Konfiguration_Configuration!L1,'Testbericht_Rapport de test'!U35,'Testbericht_Rapport de test'!V35)</f>
        <v>Ja</v>
      </c>
    </row>
    <row r="36" spans="1:23" ht="15.6">
      <c r="A36" s="16"/>
      <c r="C36" s="249">
        <v>10</v>
      </c>
      <c r="D36" s="314" t="str" cm="1">
        <f t="array" aca="1" ref="D36" ca="1">IF(INDIRECT("Konfiguration_Configuration!B"&amp;C36+21)="","",INDIRECT("Konfiguration_Configuration!B"&amp;C36+21))</f>
        <v/>
      </c>
      <c r="E36" s="315"/>
      <c r="F36" s="316"/>
      <c r="G36" s="314" t="str" cm="1">
        <f t="array" aca="1" ref="G36" ca="1">IF(INDIRECT("Konfiguration_Configuration!E"&amp;C36+21)="","",INDIRECT("Konfiguration_Configuration!E"&amp;C36+21))</f>
        <v/>
      </c>
      <c r="H36" s="315"/>
      <c r="I36" s="315"/>
      <c r="J36" s="315"/>
      <c r="K36" s="316"/>
      <c r="L36" s="312"/>
      <c r="M36" s="270"/>
      <c r="N36" s="271"/>
      <c r="O36" s="312"/>
      <c r="P36" s="313"/>
      <c r="Q36" s="250" t="str" cm="1">
        <f t="array" aca="1" ref="Q36" ca="1">IF(INDIRECT("Konfiguration_Configuration!H"&amp;C36+21)="","",INDIRECT("Konfiguration_Configuration!H"&amp;C36+21))</f>
        <v/>
      </c>
      <c r="U36" s="27" t="s">
        <v>115</v>
      </c>
      <c r="V36" s="27" t="s">
        <v>116</v>
      </c>
      <c r="W36" s="17" t="str">
        <f>IF(Konfiguration_Configuration!B3=Konfiguration_Configuration!L2,'Testbericht_Rapport de test'!U36,'Testbericht_Rapport de test'!V36)</f>
        <v>non</v>
      </c>
    </row>
    <row r="37" spans="1:23" ht="15.6">
      <c r="A37" s="16"/>
      <c r="C37" s="249">
        <v>11</v>
      </c>
      <c r="D37" s="314" t="str" cm="1">
        <f t="array" aca="1" ref="D37" ca="1">IF(INDIRECT("Konfiguration_Configuration!B"&amp;C37+21)="","",INDIRECT("Konfiguration_Configuration!B"&amp;C37+21))</f>
        <v/>
      </c>
      <c r="E37" s="315"/>
      <c r="F37" s="316"/>
      <c r="G37" s="314" t="str" cm="1">
        <f t="array" aca="1" ref="G37" ca="1">IF(INDIRECT("Konfiguration_Configuration!E"&amp;C37+21)="","",INDIRECT("Konfiguration_Configuration!E"&amp;C37+21))</f>
        <v/>
      </c>
      <c r="H37" s="315"/>
      <c r="I37" s="315"/>
      <c r="J37" s="315"/>
      <c r="K37" s="316"/>
      <c r="L37" s="312"/>
      <c r="M37" s="270"/>
      <c r="N37" s="271"/>
      <c r="O37" s="312"/>
      <c r="P37" s="313"/>
      <c r="Q37" s="250" t="str" cm="1">
        <f t="array" aca="1" ref="Q37" ca="1">IF(INDIRECT("Konfiguration_Configuration!H"&amp;C37+21)="","",INDIRECT("Konfiguration_Configuration!H"&amp;C37+21))</f>
        <v/>
      </c>
      <c r="U37" s="27" t="s">
        <v>117</v>
      </c>
      <c r="V37" s="27" t="s">
        <v>118</v>
      </c>
    </row>
    <row r="38" spans="1:23" ht="15.6">
      <c r="A38" s="16"/>
      <c r="C38" s="249">
        <v>12</v>
      </c>
      <c r="D38" s="314" t="str" cm="1">
        <f t="array" aca="1" ref="D38" ca="1">IF(INDIRECT("Konfiguration_Configuration!B"&amp;C38+21)="","",INDIRECT("Konfiguration_Configuration!B"&amp;C38+21))</f>
        <v/>
      </c>
      <c r="E38" s="315"/>
      <c r="F38" s="316"/>
      <c r="G38" s="314" t="str" cm="1">
        <f t="array" aca="1" ref="G38" ca="1">IF(INDIRECT("Konfiguration_Configuration!E"&amp;C38+21)="","",INDIRECT("Konfiguration_Configuration!E"&amp;C38+21))</f>
        <v/>
      </c>
      <c r="H38" s="315"/>
      <c r="I38" s="315"/>
      <c r="J38" s="315"/>
      <c r="K38" s="316"/>
      <c r="L38" s="312"/>
      <c r="M38" s="270"/>
      <c r="N38" s="271"/>
      <c r="O38" s="312"/>
      <c r="P38" s="313"/>
      <c r="Q38" s="250" t="str" cm="1">
        <f t="array" aca="1" ref="Q38" ca="1">IF(INDIRECT("Konfiguration_Configuration!H"&amp;C38+21)="","",INDIRECT("Konfiguration_Configuration!H"&amp;C38+21))</f>
        <v/>
      </c>
      <c r="U38" s="27" t="s">
        <v>119</v>
      </c>
      <c r="V38" s="27" t="s">
        <v>120</v>
      </c>
    </row>
    <row r="39" spans="1:23" ht="15.6">
      <c r="A39" s="16"/>
      <c r="C39" s="249">
        <v>13</v>
      </c>
      <c r="D39" s="314" t="str" cm="1">
        <f t="array" aca="1" ref="D39" ca="1">IF(INDIRECT("Konfiguration_Configuration!B"&amp;C39+21)="","",INDIRECT("Konfiguration_Configuration!B"&amp;C39+21))</f>
        <v/>
      </c>
      <c r="E39" s="315"/>
      <c r="F39" s="316"/>
      <c r="G39" s="314" t="str" cm="1">
        <f t="array" aca="1" ref="G39" ca="1">IF(INDIRECT("Konfiguration_Configuration!E"&amp;C39+21)="","",INDIRECT("Konfiguration_Configuration!E"&amp;C39+21))</f>
        <v/>
      </c>
      <c r="H39" s="315"/>
      <c r="I39" s="315"/>
      <c r="J39" s="315"/>
      <c r="K39" s="316"/>
      <c r="L39" s="312"/>
      <c r="M39" s="270"/>
      <c r="N39" s="271"/>
      <c r="O39" s="312"/>
      <c r="P39" s="313"/>
      <c r="Q39" s="250" t="str" cm="1">
        <f t="array" aca="1" ref="Q39" ca="1">IF(INDIRECT("Konfiguration_Configuration!H"&amp;C39+21)="","",INDIRECT("Konfiguration_Configuration!H"&amp;C39+21))</f>
        <v/>
      </c>
    </row>
    <row r="40" spans="1:23" ht="15.6">
      <c r="A40" s="16"/>
      <c r="C40" s="249">
        <v>14</v>
      </c>
      <c r="D40" s="314" t="str" cm="1">
        <f t="array" aca="1" ref="D40" ca="1">IF(INDIRECT("Konfiguration_Configuration!B"&amp;C40+21)="","",INDIRECT("Konfiguration_Configuration!B"&amp;C40+21))</f>
        <v/>
      </c>
      <c r="E40" s="315"/>
      <c r="F40" s="316"/>
      <c r="G40" s="314" t="str" cm="1">
        <f t="array" aca="1" ref="G40" ca="1">IF(INDIRECT("Konfiguration_Configuration!E"&amp;C40+21)="","",INDIRECT("Konfiguration_Configuration!E"&amp;C40+21))</f>
        <v/>
      </c>
      <c r="H40" s="315"/>
      <c r="I40" s="315"/>
      <c r="J40" s="315"/>
      <c r="K40" s="316"/>
      <c r="L40" s="312"/>
      <c r="M40" s="270"/>
      <c r="N40" s="271"/>
      <c r="O40" s="312"/>
      <c r="P40" s="313"/>
      <c r="Q40" s="250" t="str" cm="1">
        <f t="array" aca="1" ref="Q40" ca="1">IF(INDIRECT("Konfiguration_Configuration!H"&amp;C40+21)="","",INDIRECT("Konfiguration_Configuration!H"&amp;C40+21))</f>
        <v/>
      </c>
    </row>
    <row r="41" spans="1:23" ht="15.6">
      <c r="A41" s="16"/>
      <c r="C41" s="249">
        <v>15</v>
      </c>
      <c r="D41" s="314" t="str" cm="1">
        <f t="array" aca="1" ref="D41" ca="1">IF(INDIRECT("Konfiguration_Configuration!B"&amp;C41+21)="","",INDIRECT("Konfiguration_Configuration!B"&amp;C41+21))</f>
        <v/>
      </c>
      <c r="E41" s="315"/>
      <c r="F41" s="316"/>
      <c r="G41" s="314" t="str" cm="1">
        <f t="array" aca="1" ref="G41" ca="1">IF(INDIRECT("Konfiguration_Configuration!E"&amp;C41+21)="","",INDIRECT("Konfiguration_Configuration!E"&amp;C41+21))</f>
        <v/>
      </c>
      <c r="H41" s="315"/>
      <c r="I41" s="315"/>
      <c r="J41" s="315"/>
      <c r="K41" s="316"/>
      <c r="L41" s="312"/>
      <c r="M41" s="270"/>
      <c r="N41" s="271"/>
      <c r="O41" s="312"/>
      <c r="P41" s="313"/>
      <c r="Q41" s="250" t="str" cm="1">
        <f t="array" aca="1" ref="Q41" ca="1">IF(INDIRECT("Konfiguration_Configuration!H"&amp;C41+21)="","",INDIRECT("Konfiguration_Configuration!H"&amp;C41+21))</f>
        <v/>
      </c>
    </row>
    <row r="42" spans="1:23" ht="15.6">
      <c r="A42" s="16"/>
      <c r="C42" s="249">
        <v>16</v>
      </c>
      <c r="D42" s="314" t="str" cm="1">
        <f t="array" aca="1" ref="D42" ca="1">IF(INDIRECT("Konfiguration_Configuration!B"&amp;C42+21)="","",INDIRECT("Konfiguration_Configuration!B"&amp;C42+21))</f>
        <v/>
      </c>
      <c r="E42" s="315"/>
      <c r="F42" s="316"/>
      <c r="G42" s="314" t="str" cm="1">
        <f t="array" aca="1" ref="G42" ca="1">IF(INDIRECT("Konfiguration_Configuration!E"&amp;C42+21)="","",INDIRECT("Konfiguration_Configuration!E"&amp;C42+21))</f>
        <v/>
      </c>
      <c r="H42" s="315"/>
      <c r="I42" s="315"/>
      <c r="J42" s="315"/>
      <c r="K42" s="316"/>
      <c r="L42" s="312"/>
      <c r="M42" s="270"/>
      <c r="N42" s="271"/>
      <c r="O42" s="312"/>
      <c r="P42" s="313"/>
      <c r="Q42" s="250" t="str" cm="1">
        <f t="array" aca="1" ref="Q42" ca="1">IF(INDIRECT("Konfiguration_Configuration!H"&amp;C42+21)="","",INDIRECT("Konfiguration_Configuration!H"&amp;C42+21))</f>
        <v/>
      </c>
    </row>
    <row r="43" spans="1:23" ht="15.6">
      <c r="A43" s="16"/>
      <c r="C43" s="249">
        <v>17</v>
      </c>
      <c r="D43" s="314" t="str" cm="1">
        <f t="array" aca="1" ref="D43" ca="1">IF(INDIRECT("Konfiguration_Configuration!B"&amp;C43+21)="","",INDIRECT("Konfiguration_Configuration!B"&amp;C43+21))</f>
        <v/>
      </c>
      <c r="E43" s="315"/>
      <c r="F43" s="316"/>
      <c r="G43" s="314" t="str" cm="1">
        <f t="array" aca="1" ref="G43" ca="1">IF(INDIRECT("Konfiguration_Configuration!E"&amp;C43+21)="","",INDIRECT("Konfiguration_Configuration!E"&amp;C43+21))</f>
        <v/>
      </c>
      <c r="H43" s="315"/>
      <c r="I43" s="315"/>
      <c r="J43" s="315"/>
      <c r="K43" s="316"/>
      <c r="L43" s="312"/>
      <c r="M43" s="270"/>
      <c r="N43" s="271"/>
      <c r="O43" s="312"/>
      <c r="P43" s="313"/>
      <c r="Q43" s="250" t="str" cm="1">
        <f t="array" aca="1" ref="Q43" ca="1">IF(INDIRECT("Konfiguration_Configuration!H"&amp;C43+21)="","",INDIRECT("Konfiguration_Configuration!H"&amp;C43+21))</f>
        <v/>
      </c>
    </row>
    <row r="44" spans="1:23" ht="15" customHeight="1">
      <c r="A44" s="16"/>
      <c r="C44" s="249">
        <v>18</v>
      </c>
      <c r="D44" s="314" t="str" cm="1">
        <f t="array" aca="1" ref="D44" ca="1">IF(INDIRECT("Konfiguration_Configuration!B"&amp;C44+21)="","",INDIRECT("Konfiguration_Configuration!B"&amp;C44+21))</f>
        <v/>
      </c>
      <c r="E44" s="315"/>
      <c r="F44" s="316"/>
      <c r="G44" s="314" t="str" cm="1">
        <f t="array" aca="1" ref="G44" ca="1">IF(INDIRECT("Konfiguration_Configuration!E"&amp;C44+21)="","",INDIRECT("Konfiguration_Configuration!E"&amp;C44+21))</f>
        <v/>
      </c>
      <c r="H44" s="315"/>
      <c r="I44" s="315"/>
      <c r="J44" s="315"/>
      <c r="K44" s="316"/>
      <c r="L44" s="312"/>
      <c r="M44" s="270"/>
      <c r="N44" s="271"/>
      <c r="O44" s="312"/>
      <c r="P44" s="313"/>
      <c r="Q44" s="250" t="str" cm="1">
        <f t="array" aca="1" ref="Q44" ca="1">IF(INDIRECT("Konfiguration_Configuration!H"&amp;C44+21)="","",INDIRECT("Konfiguration_Configuration!H"&amp;C44+21))</f>
        <v/>
      </c>
    </row>
    <row r="45" spans="1:23" ht="15" customHeight="1">
      <c r="A45" s="16"/>
      <c r="C45" s="249">
        <v>19</v>
      </c>
      <c r="D45" s="314" t="str" cm="1">
        <f t="array" aca="1" ref="D45" ca="1">IF(INDIRECT("Konfiguration_Configuration!B"&amp;C45+21)="","",INDIRECT("Konfiguration_Configuration!B"&amp;C45+21))</f>
        <v/>
      </c>
      <c r="E45" s="315"/>
      <c r="F45" s="316"/>
      <c r="G45" s="314" t="str" cm="1">
        <f t="array" aca="1" ref="G45" ca="1">IF(INDIRECT("Konfiguration_Configuration!E"&amp;C45+21)="","",INDIRECT("Konfiguration_Configuration!E"&amp;C45+21))</f>
        <v/>
      </c>
      <c r="H45" s="315"/>
      <c r="I45" s="315"/>
      <c r="J45" s="315"/>
      <c r="K45" s="316"/>
      <c r="L45" s="312"/>
      <c r="M45" s="270"/>
      <c r="N45" s="271"/>
      <c r="O45" s="312"/>
      <c r="P45" s="313"/>
      <c r="Q45" s="250" t="str" cm="1">
        <f t="array" aca="1" ref="Q45" ca="1">IF(INDIRECT("Konfiguration_Configuration!H"&amp;C45+21)="","",INDIRECT("Konfiguration_Configuration!H"&amp;C45+21))</f>
        <v/>
      </c>
    </row>
    <row r="46" spans="1:23" ht="15.6">
      <c r="A46" s="16"/>
      <c r="C46" s="249">
        <v>20</v>
      </c>
      <c r="D46" s="329" t="str" cm="1">
        <f t="array" aca="1" ref="D46" ca="1">IF(INDIRECT("Konfiguration_Configuration!B"&amp;C46+21)="","",INDIRECT("Konfiguration_Configuration!B"&amp;C46+21))</f>
        <v/>
      </c>
      <c r="E46" s="330"/>
      <c r="F46" s="331"/>
      <c r="G46" s="314" t="str" cm="1">
        <f t="array" aca="1" ref="G46" ca="1">IF(INDIRECT("Konfiguration_Configuration!E"&amp;C46+21)="","",INDIRECT("Konfiguration_Configuration!E"&amp;C46+21))</f>
        <v/>
      </c>
      <c r="H46" s="315"/>
      <c r="I46" s="315"/>
      <c r="J46" s="315"/>
      <c r="K46" s="316"/>
      <c r="L46" s="312"/>
      <c r="M46" s="270"/>
      <c r="N46" s="271"/>
      <c r="O46" s="312"/>
      <c r="P46" s="313"/>
      <c r="Q46" s="251" t="str" cm="1">
        <f t="array" aca="1" ref="Q46" ca="1">IF(INDIRECT("Konfiguration_Configuration!H"&amp;C46+21)="","",INDIRECT("Konfiguration_Configuration!H"&amp;C46+21))</f>
        <v/>
      </c>
    </row>
    <row r="47" spans="1:23" ht="30.75" customHeight="1">
      <c r="A47" s="16"/>
      <c r="C47" s="21"/>
      <c r="G47" s="21"/>
      <c r="H47" s="21"/>
      <c r="I47" s="21"/>
      <c r="J47" s="21"/>
      <c r="K47" s="21"/>
      <c r="L47" s="21"/>
      <c r="M47" s="21"/>
      <c r="N47" s="21"/>
      <c r="O47" s="21"/>
      <c r="P47" s="21"/>
    </row>
    <row r="48" spans="1:23" ht="15.9" customHeight="1">
      <c r="A48" s="16"/>
      <c r="C48" s="20" t="str">
        <f>IF(Konfiguration_Configuration!B$2=Konfiguration_Configuration!L$1,'Testbericht_Rapport de test'!U52,'Testbericht_Rapport de test'!V52)</f>
        <v>4.   Bemerkung</v>
      </c>
    </row>
    <row r="49" spans="1:22" ht="15.9" customHeight="1">
      <c r="A49" s="16"/>
    </row>
    <row r="50" spans="1:22" ht="15.9" customHeight="1">
      <c r="A50" s="24" t="s">
        <v>121</v>
      </c>
      <c r="C50" s="311"/>
      <c r="D50" s="311"/>
      <c r="E50" s="311"/>
      <c r="F50" s="311"/>
      <c r="G50" s="311"/>
      <c r="H50" s="311"/>
      <c r="I50" s="311"/>
      <c r="J50" s="311"/>
      <c r="K50" s="311"/>
      <c r="L50" s="311"/>
      <c r="M50" s="311"/>
      <c r="N50" s="311"/>
      <c r="O50" s="311"/>
      <c r="P50" s="311"/>
      <c r="Q50" s="311"/>
    </row>
    <row r="51" spans="1:22" ht="15.9" customHeight="1">
      <c r="A51" s="16"/>
      <c r="C51" s="311"/>
      <c r="D51" s="311"/>
      <c r="E51" s="311"/>
      <c r="F51" s="311"/>
      <c r="G51" s="311"/>
      <c r="H51" s="311"/>
      <c r="I51" s="311"/>
      <c r="J51" s="311"/>
      <c r="K51" s="311"/>
      <c r="L51" s="311"/>
      <c r="M51" s="311"/>
      <c r="N51" s="311"/>
      <c r="O51" s="311"/>
      <c r="P51" s="311"/>
      <c r="Q51" s="311"/>
    </row>
    <row r="52" spans="1:22" ht="15.9" customHeight="1">
      <c r="A52" s="16"/>
      <c r="C52" s="311"/>
      <c r="D52" s="311"/>
      <c r="E52" s="311"/>
      <c r="F52" s="311"/>
      <c r="G52" s="311"/>
      <c r="H52" s="311"/>
      <c r="I52" s="311"/>
      <c r="J52" s="311"/>
      <c r="K52" s="311"/>
      <c r="L52" s="311"/>
      <c r="M52" s="311"/>
      <c r="N52" s="311"/>
      <c r="O52" s="311"/>
      <c r="P52" s="311"/>
      <c r="Q52" s="311"/>
      <c r="U52" s="17" t="s">
        <v>122</v>
      </c>
      <c r="V52" s="27" t="s">
        <v>123</v>
      </c>
    </row>
    <row r="53" spans="1:22" ht="15.9" customHeight="1">
      <c r="A53" s="16"/>
      <c r="C53" s="295" t="str">
        <f>IF(Konfiguration_Configuration!B$2=Konfiguration_Configuration!L$1,'Testbericht_Rapport de test'!U57,'Testbericht_Rapport de test'!V57)</f>
        <v>Der Bericht ist in elektronischer Form einzusenden an Sekretariat (teste@swissiceskating.ch).</v>
      </c>
      <c r="D53" s="319"/>
      <c r="E53" s="319"/>
      <c r="F53" s="319"/>
      <c r="G53" s="319"/>
      <c r="H53" s="319"/>
      <c r="I53" s="319"/>
      <c r="J53" s="319"/>
      <c r="K53" s="319"/>
      <c r="L53" s="319"/>
      <c r="M53" s="319"/>
      <c r="N53" s="319"/>
      <c r="O53" s="319"/>
      <c r="P53" s="319"/>
      <c r="Q53" s="319"/>
    </row>
    <row r="54" spans="1:22" ht="15.9" customHeight="1">
      <c r="A54" s="16"/>
      <c r="C54" s="20" t="str">
        <f>IF(Konfiguration_Configuration!B$2=Konfiguration_Configuration!L$1,'Testbericht_Rapport de test'!U58,'Testbericht_Rapport de test'!V58)</f>
        <v>5.  Einschätzung des Preisrichterkandidaten</v>
      </c>
    </row>
    <row r="55" spans="1:22" ht="15.9" customHeight="1">
      <c r="A55" s="16"/>
      <c r="C55" s="23"/>
    </row>
    <row r="56" spans="1:22" ht="15.9" customHeight="1">
      <c r="A56" s="16"/>
      <c r="C56" s="297"/>
      <c r="D56" s="297"/>
      <c r="E56" s="297"/>
      <c r="G56" s="298"/>
      <c r="H56" s="298"/>
      <c r="I56" s="298"/>
      <c r="J56" s="298"/>
      <c r="K56" s="238"/>
      <c r="L56" s="304"/>
      <c r="M56" s="328"/>
      <c r="N56" s="328"/>
      <c r="P56" s="304"/>
      <c r="Q56" s="328"/>
    </row>
    <row r="57" spans="1:22" ht="15.9" customHeight="1">
      <c r="A57" s="112"/>
      <c r="B57" s="113"/>
      <c r="C57" s="113" t="str">
        <f>IF(Konfiguration_Configuration!B$2=Konfiguration_Configuration!L$1,'Testbericht_Rapport de test'!U17,'Testbericht_Rapport de test'!V17)</f>
        <v>Name</v>
      </c>
      <c r="D57" s="113"/>
      <c r="E57" s="113"/>
      <c r="F57" s="113"/>
      <c r="G57" s="113" t="str">
        <f>IF(Konfiguration_Configuration!B$2=Konfiguration_Configuration!L$1,'Testbericht_Rapport de test'!U61,'Testbericht_Rapport de test'!V61)</f>
        <v xml:space="preserve">Vorname </v>
      </c>
      <c r="H57" s="113"/>
      <c r="I57" s="113"/>
      <c r="J57" s="113"/>
      <c r="K57" s="113"/>
      <c r="L57" s="113" t="str">
        <f>IF(Konfiguration_Configuration!B$2=Konfiguration_Configuration!L$1,'Testbericht_Rapport de test'!U18,'Testbericht_Rapport de test'!V18)</f>
        <v>Klub</v>
      </c>
      <c r="M57" s="113"/>
      <c r="N57" s="113"/>
      <c r="O57" s="113"/>
      <c r="P57" s="113" t="str">
        <f>IF(Konfiguration_Configuration!B$2=Konfiguration_Configuration!L$1,'Testbericht_Rapport de test'!U19,'Testbericht_Rapport de test'!V19)</f>
        <v>Klasse</v>
      </c>
      <c r="Q57" s="113"/>
      <c r="R57" s="113"/>
      <c r="U57" s="27" t="s">
        <v>124</v>
      </c>
      <c r="V57" s="27" t="s">
        <v>125</v>
      </c>
    </row>
    <row r="58" spans="1:22" ht="15.9" customHeight="1">
      <c r="A58" s="16"/>
      <c r="C58" s="23"/>
      <c r="U58" s="17" t="s">
        <v>126</v>
      </c>
      <c r="V58" s="27" t="s">
        <v>127</v>
      </c>
    </row>
    <row r="59" spans="1:22" ht="15.9" customHeight="1">
      <c r="A59" s="16"/>
      <c r="C59" s="17" t="str">
        <f>IF(Konfiguration_Configuration!B$2=Konfiguration_Configuration!L$1,'Testbericht_Rapport de test'!U63,'Testbericht_Rapport de test'!V63)</f>
        <v>Qualität der Wertung:</v>
      </c>
      <c r="G59" s="301"/>
      <c r="H59" s="302"/>
      <c r="I59" s="302"/>
      <c r="J59" s="302"/>
      <c r="K59" s="302"/>
      <c r="L59" s="302"/>
      <c r="M59" s="302"/>
      <c r="N59" s="302"/>
      <c r="O59" s="302"/>
      <c r="P59" s="302"/>
      <c r="Q59" s="302"/>
    </row>
    <row r="60" spans="1:22" ht="15.9" customHeight="1">
      <c r="A60" s="16"/>
      <c r="G60" s="303"/>
      <c r="H60" s="304"/>
      <c r="I60" s="304"/>
      <c r="J60" s="304"/>
      <c r="K60" s="304"/>
      <c r="L60" s="304"/>
      <c r="M60" s="304"/>
      <c r="N60" s="304"/>
      <c r="O60" s="304"/>
      <c r="P60" s="304"/>
      <c r="Q60" s="304"/>
    </row>
    <row r="61" spans="1:22" ht="15.9" customHeight="1">
      <c r="A61" s="16"/>
      <c r="C61" s="17" t="str">
        <f>IF(Konfiguration_Configuration!B$2=Konfiguration_Configuration!L$1,'Testbericht_Rapport de test'!U65,'Testbericht_Rapport de test'!V65)</f>
        <v>Kenntnisse der Reglemente:</v>
      </c>
      <c r="G61" s="301"/>
      <c r="H61" s="302"/>
      <c r="I61" s="302"/>
      <c r="J61" s="302"/>
      <c r="K61" s="302"/>
      <c r="L61" s="302"/>
      <c r="M61" s="302"/>
      <c r="N61" s="302"/>
      <c r="O61" s="302"/>
      <c r="P61" s="302"/>
      <c r="Q61" s="302"/>
      <c r="U61" s="27" t="s">
        <v>128</v>
      </c>
      <c r="V61" s="27" t="s">
        <v>129</v>
      </c>
    </row>
    <row r="62" spans="1:22" ht="15.9" customHeight="1">
      <c r="A62" s="16"/>
      <c r="C62" s="23"/>
      <c r="G62" s="303"/>
      <c r="H62" s="304"/>
      <c r="I62" s="304"/>
      <c r="J62" s="304"/>
      <c r="K62" s="304"/>
      <c r="L62" s="304"/>
      <c r="M62" s="304"/>
      <c r="N62" s="304"/>
      <c r="O62" s="304"/>
      <c r="P62" s="304"/>
      <c r="Q62" s="304"/>
    </row>
    <row r="63" spans="1:22" ht="15.9" customHeight="1">
      <c r="A63" s="16"/>
      <c r="C63" s="17" t="str">
        <f>IF(Konfiguration_Configuration!B$2=Konfiguration_Configuration!L$1,'Testbericht_Rapport de test'!U67,'Testbericht_Rapport de test'!V67)</f>
        <v>Umgang mit den Preisrichtern:</v>
      </c>
      <c r="G63" s="301"/>
      <c r="H63" s="302"/>
      <c r="I63" s="302"/>
      <c r="J63" s="302"/>
      <c r="K63" s="302"/>
      <c r="L63" s="302"/>
      <c r="M63" s="302"/>
      <c r="N63" s="302"/>
      <c r="O63" s="302"/>
      <c r="P63" s="302"/>
      <c r="Q63" s="302"/>
      <c r="U63" s="23" t="s">
        <v>130</v>
      </c>
      <c r="V63" s="27" t="s">
        <v>131</v>
      </c>
    </row>
    <row r="64" spans="1:22" ht="15.9" customHeight="1">
      <c r="A64" s="16"/>
      <c r="C64" s="23"/>
      <c r="G64" s="305"/>
      <c r="H64" s="306"/>
      <c r="I64" s="306"/>
      <c r="J64" s="306"/>
      <c r="K64" s="306"/>
      <c r="L64" s="306"/>
      <c r="M64" s="306"/>
      <c r="N64" s="306"/>
      <c r="O64" s="306"/>
      <c r="P64" s="306"/>
      <c r="Q64" s="306"/>
      <c r="U64" s="17"/>
    </row>
    <row r="65" spans="1:25" ht="15.9" customHeight="1">
      <c r="A65" s="16"/>
      <c r="C65" s="23"/>
      <c r="G65" s="303"/>
      <c r="H65" s="304"/>
      <c r="I65" s="304"/>
      <c r="J65" s="304"/>
      <c r="K65" s="304"/>
      <c r="L65" s="304"/>
      <c r="M65" s="304"/>
      <c r="N65" s="304"/>
      <c r="O65" s="304"/>
      <c r="P65" s="304"/>
      <c r="Q65" s="304"/>
      <c r="U65" s="23" t="s">
        <v>132</v>
      </c>
      <c r="V65" s="27" t="s">
        <v>133</v>
      </c>
    </row>
    <row r="66" spans="1:25" ht="15.9" customHeight="1">
      <c r="A66" s="16"/>
      <c r="C66" s="23"/>
      <c r="U66" s="23"/>
    </row>
    <row r="67" spans="1:25" ht="15.9" customHeight="1">
      <c r="A67" s="16"/>
      <c r="C67" s="20" t="str">
        <f>IF(Konfiguration_Configuration!B$2=Konfiguration_Configuration!L$1,'Testbericht_Rapport de test'!U71,'Testbericht_Rapport de test'!V71)</f>
        <v xml:space="preserve">6.   Unterschriften </v>
      </c>
      <c r="U67" s="23" t="s">
        <v>134</v>
      </c>
      <c r="V67" s="27" t="s">
        <v>135</v>
      </c>
    </row>
    <row r="68" spans="1:25" ht="15.9" customHeight="1">
      <c r="A68" s="16"/>
      <c r="C68" s="23"/>
    </row>
    <row r="69" spans="1:25" ht="15.9" customHeight="1">
      <c r="A69" s="16"/>
      <c r="C69" s="23"/>
    </row>
    <row r="70" spans="1:25" ht="21.75" customHeight="1">
      <c r="A70" s="16"/>
      <c r="C70" s="23"/>
    </row>
    <row r="71" spans="1:25" ht="18" customHeight="1">
      <c r="A71" s="24" t="s">
        <v>121</v>
      </c>
      <c r="C71" s="300">
        <f>Konfiguration_Configuration!$B$12</f>
        <v>0</v>
      </c>
      <c r="D71" s="300"/>
      <c r="E71" s="300"/>
      <c r="F71" s="300"/>
      <c r="I71" s="300">
        <f>Konfiguration_Configuration!$B$15</f>
        <v>0</v>
      </c>
      <c r="J71" s="300"/>
      <c r="K71" s="300"/>
      <c r="L71" s="300"/>
      <c r="M71" s="300"/>
      <c r="N71" s="300"/>
      <c r="O71" s="300"/>
      <c r="P71" s="300"/>
      <c r="U71" s="17" t="s">
        <v>136</v>
      </c>
      <c r="V71" s="17" t="s">
        <v>137</v>
      </c>
    </row>
    <row r="72" spans="1:25" ht="12" customHeight="1">
      <c r="A72" s="16"/>
      <c r="C72" s="26" t="str">
        <f>"(" &amp; Konfiguration_Configuration!$J$12 &amp; ")"</f>
        <v>(SchiedsrichterIn)</v>
      </c>
      <c r="I72" s="26" t="str">
        <f>"(" &amp; Konfiguration_Configuration!$J$15 &amp; ")"</f>
        <v>(Verantwortliche/r der Tests)</v>
      </c>
    </row>
    <row r="73" spans="1:25">
      <c r="A73" s="16"/>
    </row>
    <row r="74" spans="1:25" ht="15.6">
      <c r="A74" s="16"/>
      <c r="C74" s="17" t="str">
        <f>IF(Konfiguration_Configuration!B$2=Konfiguration_Configuration!L$1,'Testbericht_Rapport de test'!U78,'Testbericht_Rapport de test'!V78)</f>
        <v>Ort, Datum</v>
      </c>
      <c r="D74" s="26"/>
      <c r="E74" s="317" t="str">
        <f>IF(Konfiguration_Configuration!B4="","",Konfiguration_Configuration!B4 &amp; ", ")</f>
        <v/>
      </c>
      <c r="F74" s="317"/>
      <c r="G74" s="317"/>
      <c r="H74" s="318" t="str">
        <f>IF(Konfiguration_Configuration!B5="","",Konfiguration_Configuration!B5)</f>
        <v/>
      </c>
      <c r="I74" s="300"/>
      <c r="J74" s="300"/>
      <c r="K74" s="300"/>
      <c r="L74" s="300"/>
      <c r="M74" s="300"/>
    </row>
    <row r="75" spans="1:25" ht="16.5" customHeight="1">
      <c r="A75" s="16"/>
    </row>
    <row r="76" spans="1:25" ht="60" customHeight="1">
      <c r="A76" s="16"/>
      <c r="B76" s="16"/>
      <c r="C76" s="16"/>
      <c r="D76" s="16"/>
      <c r="E76" s="16"/>
      <c r="F76" s="16"/>
      <c r="G76" s="16"/>
      <c r="H76" s="16"/>
      <c r="I76" s="16"/>
      <c r="J76" s="16"/>
      <c r="K76" s="16"/>
      <c r="L76" s="16"/>
      <c r="M76" s="16"/>
      <c r="N76" s="16"/>
      <c r="O76" s="16"/>
      <c r="P76" s="16"/>
      <c r="Q76" s="16"/>
      <c r="R76" s="16"/>
    </row>
    <row r="77" spans="1:25" ht="19.5" customHeight="1">
      <c r="A77" s="16"/>
      <c r="B77" s="16"/>
      <c r="C77" s="16"/>
      <c r="D77" s="16"/>
      <c r="E77" s="16"/>
      <c r="F77" s="16"/>
      <c r="G77" s="16"/>
      <c r="H77" s="16"/>
      <c r="I77" s="16"/>
      <c r="J77" s="16"/>
      <c r="K77" s="16"/>
      <c r="L77" s="16"/>
      <c r="M77" s="16"/>
      <c r="N77" s="16"/>
      <c r="O77" s="16"/>
      <c r="P77" s="16"/>
      <c r="Q77" s="16"/>
      <c r="R77" s="16"/>
    </row>
    <row r="78" spans="1:25">
      <c r="A78" s="16"/>
      <c r="B78" s="16"/>
      <c r="C78" s="16"/>
      <c r="D78" s="16"/>
      <c r="E78" s="16"/>
      <c r="F78" s="16"/>
      <c r="G78" s="16"/>
      <c r="H78" s="16"/>
      <c r="I78" s="16"/>
      <c r="J78" s="16"/>
      <c r="K78" s="16"/>
      <c r="L78" s="16"/>
      <c r="M78" s="16"/>
      <c r="N78" s="16"/>
      <c r="O78" s="16"/>
      <c r="P78" s="16"/>
      <c r="Q78" s="16"/>
      <c r="R78" s="16"/>
      <c r="U78" s="17" t="s">
        <v>138</v>
      </c>
      <c r="V78" s="17" t="s">
        <v>139</v>
      </c>
    </row>
    <row r="79" spans="1:25">
      <c r="A79" s="16"/>
      <c r="B79" s="16"/>
      <c r="C79" s="16"/>
      <c r="D79" s="16"/>
      <c r="E79" s="16"/>
      <c r="F79" s="16"/>
      <c r="G79" s="16"/>
      <c r="H79" s="16"/>
      <c r="I79" s="16"/>
      <c r="J79" s="16"/>
      <c r="K79" s="16"/>
      <c r="L79" s="16"/>
      <c r="M79" s="16"/>
      <c r="N79" s="16"/>
      <c r="O79" s="16"/>
      <c r="P79" s="16"/>
      <c r="Q79" s="16"/>
      <c r="R79" s="16"/>
    </row>
    <row r="80" spans="1:25" s="113" customFormat="1" ht="15" customHeight="1">
      <c r="A80" s="16"/>
      <c r="B80" s="16"/>
      <c r="C80" s="16"/>
      <c r="D80" s="16"/>
      <c r="E80" s="16"/>
      <c r="F80" s="16"/>
      <c r="G80" s="16"/>
      <c r="H80" s="16"/>
      <c r="I80" s="16"/>
      <c r="J80" s="16"/>
      <c r="K80" s="16"/>
      <c r="L80" s="16"/>
      <c r="M80" s="16"/>
      <c r="N80" s="16"/>
      <c r="O80" s="16"/>
      <c r="P80" s="16"/>
      <c r="Q80" s="16"/>
      <c r="R80" s="16"/>
      <c r="S80" s="17"/>
      <c r="T80" s="22"/>
      <c r="U80" s="27"/>
      <c r="V80" s="27"/>
      <c r="W80" s="17"/>
      <c r="X80" s="17"/>
      <c r="Y80" s="17"/>
    </row>
    <row r="81" spans="1:20">
      <c r="A81" s="16"/>
      <c r="B81" s="16"/>
      <c r="C81" s="16"/>
      <c r="D81" s="16"/>
      <c r="E81" s="16"/>
      <c r="F81" s="16"/>
      <c r="G81" s="16"/>
      <c r="H81" s="16"/>
      <c r="I81" s="16"/>
      <c r="J81" s="16"/>
      <c r="K81" s="16"/>
      <c r="L81" s="16"/>
      <c r="M81" s="16"/>
      <c r="N81" s="16"/>
      <c r="O81" s="16"/>
      <c r="P81" s="16"/>
      <c r="Q81" s="16"/>
      <c r="R81" s="16"/>
    </row>
    <row r="89" spans="1:20" ht="3.9" customHeight="1"/>
    <row r="90" spans="1:20">
      <c r="T90" s="17"/>
    </row>
    <row r="91" spans="1:20" ht="15" customHeight="1"/>
    <row r="98" ht="0.9" customHeight="1"/>
  </sheetData>
  <sheetProtection algorithmName="SHA-512" hashValue="R+3y5JqHydP2Mz3JdPF2wN9W9MffVeedTZTNlt7eyTXUuT9rNNYYCYAiU0oi6t0zVs+5VIlnBIDKSUWnH6hpYA==" saltValue="mwvEmdhpD6X5+veEszuTwQ==" spinCount="100000" sheet="1" selectLockedCells="1"/>
  <protectedRanges>
    <protectedRange sqref="L27:L46 O27:P46" name="Bereich2"/>
    <protectedRange sqref="M27:N46" name="Bereich1"/>
    <protectedRange sqref="G63 G61 G59 C56 G56 L56 P56" name="Bereich3"/>
  </protectedRanges>
  <mergeCells count="119">
    <mergeCell ref="D42:F42"/>
    <mergeCell ref="G42:K42"/>
    <mergeCell ref="L42:N42"/>
    <mergeCell ref="O42:P42"/>
    <mergeCell ref="D43:F43"/>
    <mergeCell ref="G43:K43"/>
    <mergeCell ref="L43:N43"/>
    <mergeCell ref="O43:P43"/>
    <mergeCell ref="D44:F44"/>
    <mergeCell ref="G44:K44"/>
    <mergeCell ref="L44:N44"/>
    <mergeCell ref="O44:P44"/>
    <mergeCell ref="O39:P39"/>
    <mergeCell ref="D40:F40"/>
    <mergeCell ref="G40:K40"/>
    <mergeCell ref="L40:N40"/>
    <mergeCell ref="O40:P40"/>
    <mergeCell ref="D41:F41"/>
    <mergeCell ref="G41:K41"/>
    <mergeCell ref="L41:N41"/>
    <mergeCell ref="O41:P41"/>
    <mergeCell ref="G39:K39"/>
    <mergeCell ref="L39:N39"/>
    <mergeCell ref="D33:F33"/>
    <mergeCell ref="G33:K33"/>
    <mergeCell ref="D35:F35"/>
    <mergeCell ref="G35:K35"/>
    <mergeCell ref="D27:F27"/>
    <mergeCell ref="G27:K27"/>
    <mergeCell ref="O27:P27"/>
    <mergeCell ref="L26:N26"/>
    <mergeCell ref="O26:P26"/>
    <mergeCell ref="L27:N27"/>
    <mergeCell ref="D28:F28"/>
    <mergeCell ref="G28:K28"/>
    <mergeCell ref="L28:N28"/>
    <mergeCell ref="O28:P28"/>
    <mergeCell ref="D30:F30"/>
    <mergeCell ref="G30:K30"/>
    <mergeCell ref="L30:N30"/>
    <mergeCell ref="O30:P30"/>
    <mergeCell ref="D31:F31"/>
    <mergeCell ref="G31:K31"/>
    <mergeCell ref="L31:N31"/>
    <mergeCell ref="O31:P31"/>
    <mergeCell ref="D32:F32"/>
    <mergeCell ref="G32:K32"/>
    <mergeCell ref="L32:N32"/>
    <mergeCell ref="O32:P32"/>
    <mergeCell ref="L34:N34"/>
    <mergeCell ref="O34:P34"/>
    <mergeCell ref="D45:F45"/>
    <mergeCell ref="G45:K45"/>
    <mergeCell ref="L45:N45"/>
    <mergeCell ref="O45:P45"/>
    <mergeCell ref="D46:F46"/>
    <mergeCell ref="G46:K46"/>
    <mergeCell ref="L46:N46"/>
    <mergeCell ref="O46:P46"/>
    <mergeCell ref="G36:K36"/>
    <mergeCell ref="L36:N36"/>
    <mergeCell ref="O36:P36"/>
    <mergeCell ref="D37:F37"/>
    <mergeCell ref="G37:K37"/>
    <mergeCell ref="L37:N37"/>
    <mergeCell ref="O37:P37"/>
    <mergeCell ref="D38:F38"/>
    <mergeCell ref="G38:K38"/>
    <mergeCell ref="L38:N38"/>
    <mergeCell ref="O38:P38"/>
    <mergeCell ref="D39:F39"/>
    <mergeCell ref="E74:G74"/>
    <mergeCell ref="H74:M74"/>
    <mergeCell ref="C53:Q53"/>
    <mergeCell ref="P18:Q18"/>
    <mergeCell ref="P19:Q19"/>
    <mergeCell ref="P20:Q20"/>
    <mergeCell ref="P21:Q21"/>
    <mergeCell ref="P22:Q22"/>
    <mergeCell ref="F18:K18"/>
    <mergeCell ref="L18:O18"/>
    <mergeCell ref="F19:K19"/>
    <mergeCell ref="F20:K20"/>
    <mergeCell ref="F21:K21"/>
    <mergeCell ref="L19:O19"/>
    <mergeCell ref="L20:O20"/>
    <mergeCell ref="L21:O21"/>
    <mergeCell ref="L56:N56"/>
    <mergeCell ref="P56:Q56"/>
    <mergeCell ref="D29:F29"/>
    <mergeCell ref="G29:K29"/>
    <mergeCell ref="L29:N29"/>
    <mergeCell ref="O29:P29"/>
    <mergeCell ref="L33:N33"/>
    <mergeCell ref="O33:P33"/>
    <mergeCell ref="J1:Q1"/>
    <mergeCell ref="C14:Q14"/>
    <mergeCell ref="F12:H12"/>
    <mergeCell ref="C56:E56"/>
    <mergeCell ref="G56:J56"/>
    <mergeCell ref="F13:Q13"/>
    <mergeCell ref="C71:F71"/>
    <mergeCell ref="I71:P71"/>
    <mergeCell ref="G59:Q60"/>
    <mergeCell ref="G61:Q62"/>
    <mergeCell ref="G63:Q65"/>
    <mergeCell ref="F22:K22"/>
    <mergeCell ref="L22:O22"/>
    <mergeCell ref="E5:H5"/>
    <mergeCell ref="F9:Q9"/>
    <mergeCell ref="C8:Q8"/>
    <mergeCell ref="F10:H10"/>
    <mergeCell ref="F11:H11"/>
    <mergeCell ref="C50:Q52"/>
    <mergeCell ref="L35:N35"/>
    <mergeCell ref="O35:P35"/>
    <mergeCell ref="D36:F36"/>
    <mergeCell ref="D34:F34"/>
    <mergeCell ref="G34:K34"/>
  </mergeCells>
  <phoneticPr fontId="0" type="noConversion"/>
  <conditionalFormatting sqref="L27:L46">
    <cfRule type="expression" dxfId="12" priority="1" stopIfTrue="1">
      <formula>(L27=$W$36)</formula>
    </cfRule>
    <cfRule type="expression" dxfId="11" priority="2" stopIfTrue="1">
      <formula>(L27=$W$35)</formula>
    </cfRule>
    <cfRule type="expression" priority="3" stopIfTrue="1">
      <formula>(L27="")</formula>
    </cfRule>
  </conditionalFormatting>
  <conditionalFormatting sqref="O27:O46">
    <cfRule type="expression" dxfId="10" priority="4" stopIfTrue="1">
      <formula>(O27=$W$36)</formula>
    </cfRule>
    <cfRule type="expression" dxfId="9" priority="5" stopIfTrue="1">
      <formula>(O27=$W$35)</formula>
    </cfRule>
    <cfRule type="expression" priority="6" stopIfTrue="1">
      <formula>(O27="")</formula>
    </cfRule>
  </conditionalFormatting>
  <dataValidations count="1">
    <dataValidation type="list" allowBlank="1" showInputMessage="1" showErrorMessage="1" sqref="O27:O46 L27:L46" xr:uid="{00000000-0002-0000-0100-000000000000}">
      <formula1>$W$35:$W$36</formula1>
    </dataValidation>
  </dataValidations>
  <printOptions horizontalCentered="1"/>
  <pageMargins left="0.70866141732283472" right="0.51181102362204722" top="0.78740157480314965" bottom="0.59055118110236227" header="0.31496062992125984" footer="0.31496062992125984"/>
  <pageSetup paperSize="9" scale="71" fitToHeight="0" orientation="portrait" horizontalDpi="300" r:id="rId1"/>
  <headerFooter alignWithMargins="0">
    <oddFooter>&amp;L&amp;9Druckdatum: &amp;D&amp;C&amp;9&amp;F / &amp;A&amp;R&amp;9Seite &amp;P von &amp;N</oddFooter>
  </headerFooter>
  <rowBreaks count="1" manualBreakCount="1">
    <brk id="23"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008">
    <tabColor indexed="42"/>
    <outlinePr summaryBelow="0" summaryRight="0"/>
  </sheetPr>
  <dimension ref="A1:AG52"/>
  <sheetViews>
    <sheetView showGridLines="0" showOutlineSymbols="0" zoomScale="75" zoomScaleNormal="75" workbookViewId="0">
      <pane ySplit="1" topLeftCell="A2" activePane="bottomLeft" state="frozenSplit"/>
      <selection activeCell="AA1" sqref="AA1"/>
      <selection pane="bottomLeft" activeCell="D27" sqref="D27:N27"/>
    </sheetView>
  </sheetViews>
  <sheetFormatPr baseColWidth="10" defaultColWidth="11.44140625" defaultRowHeight="15" outlineLevelCol="1"/>
  <cols>
    <col min="1" max="1" width="5.6640625" style="26" customWidth="1"/>
    <col min="2" max="2" width="6.44140625" style="26" hidden="1" customWidth="1"/>
    <col min="3" max="3" width="29.6640625" style="26" customWidth="1"/>
    <col min="4" max="4" width="5.6640625" style="26" customWidth="1"/>
    <col min="5" max="5" width="15.6640625" style="26" customWidth="1"/>
    <col min="6" max="6" width="10.6640625" style="26" customWidth="1"/>
    <col min="7" max="12" width="5.6640625" style="26" customWidth="1"/>
    <col min="13" max="15" width="10.6640625" style="26" customWidth="1"/>
    <col min="16" max="16" width="2" style="26" customWidth="1" collapsed="1"/>
    <col min="17" max="17" width="14.88671875" style="39" hidden="1" customWidth="1" outlineLevel="1"/>
    <col min="18" max="18" width="3.5546875" style="26" hidden="1" customWidth="1" outlineLevel="1"/>
    <col min="19" max="19" width="11.44140625" style="26" hidden="1" customWidth="1" outlineLevel="1"/>
    <col min="20" max="20" width="5.6640625" style="26" hidden="1" customWidth="1" outlineLevel="1"/>
    <col min="21" max="21" width="13.44140625" style="26" hidden="1" customWidth="1" outlineLevel="1"/>
    <col min="22" max="22" width="28.109375" style="26" hidden="1" customWidth="1" outlineLevel="1"/>
    <col min="23" max="23" width="2.109375" style="26" customWidth="1"/>
    <col min="24" max="25" width="2.44140625" style="26" customWidth="1"/>
    <col min="26" max="26" width="9.6640625" style="26" bestFit="1" customWidth="1"/>
    <col min="27" max="27" width="17.44140625" style="26" bestFit="1" customWidth="1"/>
    <col min="28" max="28" width="14.44140625" style="26" customWidth="1"/>
    <col min="29" max="29" width="4.109375" style="26" customWidth="1" collapsed="1"/>
    <col min="30" max="30" width="17.33203125" style="72" hidden="1" customWidth="1" outlineLevel="1"/>
    <col min="31" max="32" width="17.33203125" style="26" hidden="1" customWidth="1" outlineLevel="1"/>
    <col min="33" max="33" width="4.109375" style="26" hidden="1" customWidth="1"/>
    <col min="34" max="34" width="14.44140625" style="26" customWidth="1"/>
    <col min="35" max="16384" width="11.44140625" style="26"/>
  </cols>
  <sheetData>
    <row r="1" spans="1:33" ht="33.75" customHeight="1">
      <c r="A1" s="25"/>
      <c r="B1" s="25"/>
      <c r="C1" s="25"/>
      <c r="D1" s="25"/>
      <c r="E1" s="25"/>
      <c r="F1" s="45"/>
      <c r="G1" s="45"/>
      <c r="H1" s="45"/>
      <c r="I1" s="45"/>
      <c r="J1" s="45"/>
      <c r="K1" s="45"/>
      <c r="L1" s="45"/>
      <c r="M1" s="45"/>
      <c r="N1" s="45"/>
      <c r="O1" s="25"/>
      <c r="P1" s="25"/>
      <c r="Q1" s="4"/>
      <c r="R1" s="4"/>
      <c r="S1" s="28"/>
      <c r="T1" s="28"/>
      <c r="W1" s="4"/>
      <c r="X1" s="4"/>
      <c r="Z1" s="155" t="str">
        <f>Berater</f>
        <v>Sprache</v>
      </c>
      <c r="AA1" s="46" t="s">
        <v>0</v>
      </c>
      <c r="AB1" s="25"/>
      <c r="AD1" s="73" t="s">
        <v>140</v>
      </c>
      <c r="AE1" s="73" t="s">
        <v>1</v>
      </c>
      <c r="AF1" s="73" t="s">
        <v>2</v>
      </c>
    </row>
    <row r="2" spans="1:33" ht="20.100000000000001" customHeight="1">
      <c r="A2" s="25"/>
      <c r="C2" s="351"/>
      <c r="D2" s="351"/>
      <c r="E2" s="351"/>
      <c r="F2" s="351"/>
      <c r="G2" s="351"/>
      <c r="J2" s="253"/>
      <c r="L2" s="28"/>
      <c r="M2" s="28"/>
      <c r="N2" s="31"/>
      <c r="P2" s="25"/>
      <c r="Q2" s="4"/>
      <c r="R2" s="4"/>
      <c r="S2" s="28"/>
      <c r="T2" s="28"/>
      <c r="U2" s="43">
        <f>IF($AA$1=$AF$1,3,IF($AA$1=$AE$1,2,IF($AA$1=$AD$1,1,1)))</f>
        <v>1</v>
      </c>
      <c r="V2" s="26" t="s">
        <v>4</v>
      </c>
      <c r="W2" s="4"/>
      <c r="X2" s="4"/>
      <c r="Z2" s="25"/>
      <c r="AA2" s="25"/>
      <c r="AB2" s="25"/>
      <c r="AD2" s="26"/>
    </row>
    <row r="3" spans="1:33" ht="0.75" hidden="1" customHeight="1">
      <c r="A3" s="25"/>
      <c r="C3" s="38"/>
      <c r="I3" s="49"/>
      <c r="J3" s="49"/>
      <c r="K3" s="49"/>
      <c r="L3" s="49"/>
      <c r="M3" s="49"/>
      <c r="N3" s="49"/>
      <c r="P3" s="25"/>
      <c r="Q3" s="4"/>
      <c r="R3" s="4"/>
      <c r="S3" s="28"/>
      <c r="T3" s="28"/>
      <c r="W3" s="4"/>
      <c r="X3" s="4"/>
      <c r="AE3" s="72"/>
      <c r="AF3" s="72"/>
    </row>
    <row r="4" spans="1:33" ht="20.100000000000001" customHeight="1">
      <c r="A4" s="25"/>
      <c r="P4" s="25"/>
      <c r="Q4" s="25"/>
      <c r="R4" s="25"/>
      <c r="W4" s="25"/>
      <c r="X4" s="25"/>
      <c r="AE4" s="72"/>
      <c r="AF4" s="72"/>
    </row>
    <row r="5" spans="1:33" ht="20.100000000000001" customHeight="1">
      <c r="A5" s="25"/>
      <c r="P5" s="25"/>
      <c r="Q5" s="42" t="s">
        <v>141</v>
      </c>
      <c r="R5" s="25"/>
      <c r="U5" s="59">
        <f ca="1">OFFSET(Konfiguration_Configuration!$B$21,$U$8,0)</f>
        <v>0</v>
      </c>
      <c r="W5" s="25"/>
      <c r="X5" s="25"/>
      <c r="AD5" s="74" t="s">
        <v>142</v>
      </c>
      <c r="AE5" s="78" t="s">
        <v>143</v>
      </c>
      <c r="AF5" s="78" t="s">
        <v>144</v>
      </c>
    </row>
    <row r="6" spans="1:33" ht="20.100000000000001" customHeight="1">
      <c r="A6" s="25"/>
      <c r="P6" s="25"/>
      <c r="Q6" s="44">
        <v>1</v>
      </c>
      <c r="R6" s="25"/>
      <c r="W6" s="25"/>
      <c r="X6" s="25"/>
      <c r="AE6" s="72"/>
      <c r="AF6" s="72"/>
    </row>
    <row r="7" spans="1:33" ht="20.100000000000001" customHeight="1">
      <c r="A7" s="25"/>
      <c r="P7" s="25"/>
      <c r="Q7" s="44">
        <v>1</v>
      </c>
      <c r="R7" s="25"/>
      <c r="W7" s="25"/>
      <c r="X7" s="25"/>
      <c r="AE7" s="72"/>
      <c r="AF7" s="72"/>
    </row>
    <row r="8" spans="1:33" ht="20.100000000000001" customHeight="1">
      <c r="A8" s="25"/>
      <c r="P8" s="25"/>
      <c r="Q8" s="44">
        <v>1</v>
      </c>
      <c r="R8" s="25"/>
      <c r="U8" s="46">
        <v>1</v>
      </c>
      <c r="V8" s="26" t="s">
        <v>145</v>
      </c>
      <c r="W8" s="25"/>
      <c r="X8" s="25"/>
      <c r="AD8" s="75" t="s">
        <v>146</v>
      </c>
      <c r="AE8" s="79" t="s">
        <v>147</v>
      </c>
      <c r="AF8" s="79" t="s">
        <v>148</v>
      </c>
    </row>
    <row r="9" spans="1:33" ht="20.100000000000001" customHeight="1">
      <c r="A9" s="25"/>
      <c r="P9" s="25"/>
      <c r="Q9" s="44">
        <v>1</v>
      </c>
      <c r="R9" s="25"/>
      <c r="U9" s="52" t="e">
        <f ca="1">IF( OFFSET(Konfiguration_Configuration!#REF!,$U$8+9,0)=0, "", "'" &amp; OFFSET(Konfiguration_Configuration!#REF!,$U$8+9,0) &amp; "'!")</f>
        <v>#REF!</v>
      </c>
      <c r="V9" s="26" t="s">
        <v>149</v>
      </c>
      <c r="W9" s="25"/>
      <c r="X9" s="25"/>
      <c r="AD9" s="82" t="s">
        <v>150</v>
      </c>
      <c r="AE9" s="83" t="s">
        <v>151</v>
      </c>
      <c r="AF9" s="83" t="s">
        <v>152</v>
      </c>
    </row>
    <row r="10" spans="1:33" ht="20.100000000000001" customHeight="1">
      <c r="A10" s="25"/>
      <c r="B10" s="354"/>
      <c r="C10" s="354"/>
      <c r="D10" s="354"/>
      <c r="E10" s="354"/>
      <c r="F10" s="354"/>
      <c r="G10" s="354"/>
      <c r="H10" s="354"/>
      <c r="I10" s="354"/>
      <c r="J10" s="354"/>
      <c r="K10" s="354"/>
      <c r="L10" s="354"/>
      <c r="M10" s="354"/>
      <c r="N10" s="354"/>
      <c r="O10" s="354"/>
      <c r="P10" s="25"/>
      <c r="Q10" s="44">
        <v>1</v>
      </c>
      <c r="R10" s="25"/>
      <c r="U10" s="43" t="e">
        <f ca="1">INDIRECT( $U$9 &amp; "$Y$46" )</f>
        <v>#REF!</v>
      </c>
      <c r="V10" s="26" t="e">
        <f ca="1">INDIRECT( $U$9 &amp; "$z$46" )</f>
        <v>#REF!</v>
      </c>
      <c r="W10" s="25"/>
      <c r="X10" s="25"/>
      <c r="AD10" s="82" t="s">
        <v>153</v>
      </c>
      <c r="AE10" s="83" t="s">
        <v>154</v>
      </c>
      <c r="AF10" s="83" t="s">
        <v>155</v>
      </c>
    </row>
    <row r="11" spans="1:33" ht="20.100000000000001" customHeight="1">
      <c r="A11" s="25"/>
      <c r="P11" s="25"/>
      <c r="Q11" s="44">
        <v>1</v>
      </c>
      <c r="R11" s="25"/>
      <c r="U11" s="43" t="e">
        <f ca="1">INDIRECT( $U$9 &amp; "$Y$47" )</f>
        <v>#REF!</v>
      </c>
      <c r="V11" s="26" t="e">
        <f ca="1">INDIRECT( $U$9 &amp; "$z$47" )</f>
        <v>#REF!</v>
      </c>
      <c r="W11" s="25"/>
      <c r="X11" s="25"/>
      <c r="AD11" s="82" t="s">
        <v>156</v>
      </c>
      <c r="AE11" s="83" t="s">
        <v>157</v>
      </c>
      <c r="AF11" s="83" t="s">
        <v>158</v>
      </c>
    </row>
    <row r="12" spans="1:33" ht="20.100000000000001" customHeight="1">
      <c r="A12" s="25"/>
      <c r="P12" s="25"/>
      <c r="Q12" s="44">
        <v>1</v>
      </c>
      <c r="R12" s="25"/>
      <c r="U12" s="43" t="e">
        <f ca="1">INDIRECT( $U$9 &amp; "$Y$48" )</f>
        <v>#REF!</v>
      </c>
      <c r="V12" s="26" t="e">
        <f ca="1">INDIRECT( $U$9 &amp; "$z$48" )</f>
        <v>#REF!</v>
      </c>
      <c r="W12" s="25"/>
      <c r="X12" s="25"/>
      <c r="AD12" s="77" t="s">
        <v>159</v>
      </c>
      <c r="AE12" s="81" t="s">
        <v>160</v>
      </c>
      <c r="AF12" s="81" t="s">
        <v>161</v>
      </c>
    </row>
    <row r="13" spans="1:33" ht="20.100000000000001" customHeight="1">
      <c r="A13" s="25"/>
      <c r="B13" s="353"/>
      <c r="C13" s="353"/>
      <c r="D13" s="353"/>
      <c r="E13" s="353"/>
      <c r="F13" s="353"/>
      <c r="G13" s="353"/>
      <c r="H13" s="353"/>
      <c r="I13" s="353"/>
      <c r="J13" s="353"/>
      <c r="K13" s="353"/>
      <c r="L13" s="353"/>
      <c r="M13" s="353"/>
      <c r="N13" s="353"/>
      <c r="O13" s="353"/>
      <c r="P13" s="25"/>
      <c r="Q13" s="44">
        <v>1</v>
      </c>
      <c r="R13" s="25"/>
      <c r="U13" s="43" t="e">
        <f ca="1">INDIRECT( $U$9 &amp; "$Y$49" )</f>
        <v>#REF!</v>
      </c>
      <c r="V13" s="26" t="e">
        <f ca="1">INDIRECT( $U$9 &amp; "$z$49" )</f>
        <v>#REF!</v>
      </c>
      <c r="W13" s="25"/>
      <c r="X13" s="25"/>
      <c r="AE13" s="72"/>
      <c r="AF13" s="72"/>
    </row>
    <row r="14" spans="1:33" ht="19.5" customHeight="1">
      <c r="A14" s="25"/>
      <c r="P14" s="25"/>
      <c r="Q14" s="44">
        <v>1</v>
      </c>
      <c r="R14" s="25"/>
      <c r="U14" s="43" t="e">
        <f ca="1">INDIRECT( $U$9 &amp; "$Y$50" )</f>
        <v>#REF!</v>
      </c>
      <c r="V14" s="26" t="e">
        <f ca="1">INDIRECT( $U$9 &amp; "$z$50" )</f>
        <v>#REF!</v>
      </c>
      <c r="W14" s="25"/>
      <c r="X14" s="25"/>
      <c r="AD14" s="75"/>
      <c r="AE14" s="79"/>
      <c r="AF14" s="79"/>
      <c r="AG14" s="26" t="str">
        <f>CONCATENATE(AA$1,VLOOKUP(Testname,Daten!C:D,2,FALSE))</f>
        <v>DeutschStil Interbronze</v>
      </c>
    </row>
    <row r="15" spans="1:33" ht="20.100000000000001" customHeight="1">
      <c r="A15" s="25"/>
      <c r="B15" s="352"/>
      <c r="C15" s="352"/>
      <c r="D15" s="352"/>
      <c r="E15" s="352"/>
      <c r="F15" s="352"/>
      <c r="G15" s="352"/>
      <c r="H15" s="352"/>
      <c r="I15" s="352"/>
      <c r="J15" s="352"/>
      <c r="K15" s="352"/>
      <c r="L15" s="352"/>
      <c r="M15" s="352"/>
      <c r="N15" s="352"/>
      <c r="O15" s="352"/>
      <c r="P15" s="25"/>
      <c r="Q15" s="44">
        <v>1</v>
      </c>
      <c r="R15" s="25"/>
      <c r="W15" s="25"/>
      <c r="X15" s="25"/>
      <c r="AD15" s="82" t="s">
        <v>162</v>
      </c>
      <c r="AE15" s="83" t="s">
        <v>163</v>
      </c>
      <c r="AF15" s="83" t="s">
        <v>164</v>
      </c>
    </row>
    <row r="16" spans="1:33" ht="20.100000000000001" customHeight="1">
      <c r="A16" s="25"/>
      <c r="B16" s="352"/>
      <c r="C16" s="352"/>
      <c r="D16" s="352"/>
      <c r="E16" s="352"/>
      <c r="F16" s="352"/>
      <c r="G16" s="352"/>
      <c r="H16" s="352"/>
      <c r="I16" s="352"/>
      <c r="J16" s="352"/>
      <c r="K16" s="352"/>
      <c r="L16" s="352"/>
      <c r="M16" s="352"/>
      <c r="N16" s="352"/>
      <c r="O16" s="352"/>
      <c r="P16" s="25"/>
      <c r="Q16" s="44">
        <v>1</v>
      </c>
      <c r="R16" s="25"/>
      <c r="U16" s="43" t="e">
        <f ca="1">INDIRECT( $U$9 &amp; "$Y$52" )</f>
        <v>#REF!</v>
      </c>
      <c r="V16" s="26" t="e">
        <f ca="1">INDIRECT( $U$9 &amp; "$z$52" )</f>
        <v>#REF!</v>
      </c>
      <c r="W16" s="25"/>
      <c r="X16" s="25"/>
      <c r="AD16" s="82" t="s">
        <v>165</v>
      </c>
      <c r="AE16" s="83" t="s">
        <v>166</v>
      </c>
      <c r="AF16" s="83" t="s">
        <v>167</v>
      </c>
    </row>
    <row r="17" spans="1:32" ht="20.100000000000001" customHeight="1">
      <c r="A17" s="25"/>
      <c r="B17" s="352"/>
      <c r="C17" s="352"/>
      <c r="D17" s="352"/>
      <c r="E17" s="352"/>
      <c r="F17" s="352"/>
      <c r="G17" s="352"/>
      <c r="H17" s="352"/>
      <c r="I17" s="352"/>
      <c r="J17" s="352"/>
      <c r="K17" s="352"/>
      <c r="L17" s="352"/>
      <c r="M17" s="352"/>
      <c r="N17" s="352"/>
      <c r="O17" s="352"/>
      <c r="P17" s="25"/>
      <c r="Q17" s="44">
        <v>1</v>
      </c>
      <c r="R17" s="25"/>
      <c r="U17" s="53" t="str">
        <f ca="1">OFFSET($AC42,0,Sprache)</f>
        <v>deutsch</v>
      </c>
      <c r="V17" s="26" t="s">
        <v>168</v>
      </c>
      <c r="W17" s="25"/>
      <c r="X17" s="25"/>
      <c r="AD17" s="82" t="s">
        <v>169</v>
      </c>
      <c r="AE17" s="83" t="s">
        <v>170</v>
      </c>
      <c r="AF17" s="83" t="s">
        <v>170</v>
      </c>
    </row>
    <row r="18" spans="1:32" ht="20.100000000000001" customHeight="1">
      <c r="A18" s="25"/>
      <c r="B18" s="352"/>
      <c r="C18" s="352"/>
      <c r="D18" s="352"/>
      <c r="E18" s="352"/>
      <c r="F18" s="352"/>
      <c r="G18" s="352"/>
      <c r="H18" s="352"/>
      <c r="I18" s="352"/>
      <c r="J18" s="352"/>
      <c r="K18" s="352"/>
      <c r="L18" s="352"/>
      <c r="M18" s="352"/>
      <c r="N18" s="352"/>
      <c r="O18" s="352"/>
      <c r="P18" s="25"/>
      <c r="Q18" s="44">
        <v>1</v>
      </c>
      <c r="R18" s="25"/>
      <c r="U18" s="71">
        <f>DATE( YEAR(Datum)+1, MONTH(Datum), DAY(Datum) + IF(OR(MONTH(Datum)=2,AND(MONTH(Datum)=1,DAY(Datum)&gt;30)),28,30) )</f>
        <v>396</v>
      </c>
      <c r="V18" s="26" t="s">
        <v>171</v>
      </c>
      <c r="W18" s="25"/>
      <c r="X18" s="25"/>
      <c r="AD18" s="82" t="s">
        <v>172</v>
      </c>
      <c r="AE18" s="83" t="s">
        <v>30</v>
      </c>
      <c r="AF18" s="83" t="s">
        <v>173</v>
      </c>
    </row>
    <row r="19" spans="1:32" ht="15" customHeight="1">
      <c r="A19" s="25"/>
      <c r="B19" s="352"/>
      <c r="C19" s="352"/>
      <c r="D19" s="352"/>
      <c r="E19" s="352"/>
      <c r="F19" s="352"/>
      <c r="G19" s="352"/>
      <c r="H19" s="352"/>
      <c r="I19" s="352"/>
      <c r="J19" s="352"/>
      <c r="K19" s="352"/>
      <c r="L19" s="352"/>
      <c r="M19" s="352"/>
      <c r="N19" s="352"/>
      <c r="O19" s="352"/>
      <c r="P19" s="25"/>
      <c r="Q19" s="44"/>
      <c r="R19" s="25"/>
      <c r="W19" s="25"/>
      <c r="X19" s="25"/>
      <c r="AD19" s="77" t="s">
        <v>174</v>
      </c>
      <c r="AE19" s="81" t="s">
        <v>175</v>
      </c>
      <c r="AF19" s="81" t="s">
        <v>176</v>
      </c>
    </row>
    <row r="20" spans="1:32" ht="15.75" customHeight="1">
      <c r="A20" s="25"/>
      <c r="P20" s="99"/>
      <c r="Q20" s="99"/>
      <c r="R20" s="99"/>
      <c r="S20" s="99"/>
      <c r="T20" s="99"/>
      <c r="U20" s="99"/>
      <c r="V20" s="99"/>
      <c r="W20" s="99"/>
      <c r="X20" s="25"/>
      <c r="AE20" s="72"/>
      <c r="AF20" s="72"/>
    </row>
    <row r="21" spans="1:32" ht="20.100000000000001" customHeight="1">
      <c r="A21" s="25"/>
      <c r="P21" s="25"/>
      <c r="Q21" s="44">
        <v>1</v>
      </c>
      <c r="R21" s="25"/>
      <c r="W21" s="25"/>
      <c r="X21" s="25"/>
      <c r="AD21" s="75" t="s">
        <v>177</v>
      </c>
      <c r="AE21" s="79" t="s">
        <v>175</v>
      </c>
      <c r="AF21" s="79" t="s">
        <v>176</v>
      </c>
    </row>
    <row r="22" spans="1:32" ht="20.100000000000001" customHeight="1">
      <c r="A22" s="25"/>
      <c r="P22" s="25"/>
      <c r="Q22" s="44">
        <v>1</v>
      </c>
      <c r="R22" s="25"/>
      <c r="W22" s="25"/>
      <c r="X22" s="25"/>
      <c r="AD22" s="76"/>
      <c r="AE22" s="80"/>
      <c r="AF22" s="80"/>
    </row>
    <row r="23" spans="1:32" ht="20.100000000000001" customHeight="1">
      <c r="A23" s="25"/>
      <c r="P23" s="25"/>
      <c r="Q23" s="44">
        <v>1</v>
      </c>
      <c r="R23" s="25"/>
      <c r="W23" s="25"/>
      <c r="X23" s="25"/>
      <c r="AD23" s="82" t="s">
        <v>177</v>
      </c>
      <c r="AE23" s="83" t="s">
        <v>175</v>
      </c>
      <c r="AF23" s="83" t="s">
        <v>176</v>
      </c>
    </row>
    <row r="24" spans="1:32" ht="20.100000000000001" customHeight="1">
      <c r="A24" s="25"/>
      <c r="P24" s="25"/>
      <c r="Q24" s="44">
        <v>1</v>
      </c>
      <c r="R24" s="25"/>
      <c r="W24" s="25"/>
      <c r="X24" s="25"/>
      <c r="AD24" s="77" t="s">
        <v>177</v>
      </c>
      <c r="AE24" s="81" t="s">
        <v>175</v>
      </c>
      <c r="AF24" s="81" t="s">
        <v>176</v>
      </c>
    </row>
    <row r="25" spans="1:32" ht="20.100000000000001" customHeight="1">
      <c r="A25" s="25"/>
      <c r="C25" s="102"/>
      <c r="D25" s="102"/>
      <c r="E25" s="102"/>
      <c r="F25" s="345" t="str">
        <f ca="1">OFFSET($AC10,0,Sprache)</f>
        <v>dass</v>
      </c>
      <c r="G25" s="345"/>
      <c r="H25" s="345"/>
      <c r="I25" s="345"/>
      <c r="J25" s="345"/>
      <c r="K25" s="345"/>
      <c r="L25" s="345"/>
      <c r="M25" s="102"/>
      <c r="N25" s="102"/>
      <c r="O25" s="87"/>
      <c r="P25" s="25"/>
      <c r="Q25" s="44">
        <v>1</v>
      </c>
      <c r="R25" s="25"/>
      <c r="W25" s="25"/>
      <c r="X25" s="25"/>
      <c r="AE25" s="72"/>
      <c r="AF25" s="72"/>
    </row>
    <row r="26" spans="1:32" ht="13.5" customHeight="1">
      <c r="A26" s="25"/>
      <c r="C26" s="103"/>
      <c r="D26" s="103"/>
      <c r="E26" s="103"/>
      <c r="F26" s="103"/>
      <c r="G26" s="103"/>
      <c r="H26" s="103"/>
      <c r="I26" s="103"/>
      <c r="J26" s="103"/>
      <c r="K26" s="103"/>
      <c r="L26" s="103"/>
      <c r="M26" s="103"/>
      <c r="N26" s="103"/>
      <c r="O26" s="103"/>
      <c r="P26" s="25"/>
      <c r="Q26" s="44">
        <v>1</v>
      </c>
      <c r="R26" s="25"/>
      <c r="W26" s="25"/>
      <c r="X26" s="25"/>
      <c r="AE26" s="72"/>
      <c r="AF26" s="72"/>
    </row>
    <row r="27" spans="1:32" ht="69.900000000000006" customHeight="1">
      <c r="A27" s="25"/>
      <c r="B27" s="103"/>
      <c r="C27" s="103"/>
      <c r="D27" s="350"/>
      <c r="E27" s="350"/>
      <c r="F27" s="350"/>
      <c r="G27" s="350"/>
      <c r="H27" s="350"/>
      <c r="I27" s="350"/>
      <c r="J27" s="350"/>
      <c r="K27" s="350"/>
      <c r="L27" s="350"/>
      <c r="M27" s="350"/>
      <c r="N27" s="350"/>
      <c r="O27" s="103"/>
      <c r="P27" s="25"/>
      <c r="Q27" s="44">
        <v>1</v>
      </c>
      <c r="R27" s="25"/>
      <c r="W27" s="25"/>
      <c r="X27" s="25"/>
      <c r="AE27" s="72"/>
      <c r="AF27" s="72"/>
    </row>
    <row r="28" spans="1:32" ht="15" customHeight="1">
      <c r="A28" s="25"/>
      <c r="C28" s="103"/>
      <c r="D28" s="103"/>
      <c r="E28" s="103"/>
      <c r="F28" s="103"/>
      <c r="G28" s="103"/>
      <c r="H28" s="103"/>
      <c r="I28" s="103"/>
      <c r="J28" s="103"/>
      <c r="K28" s="103"/>
      <c r="L28" s="103"/>
      <c r="M28" s="103"/>
      <c r="N28" s="103"/>
      <c r="O28" s="103"/>
      <c r="P28" s="25"/>
      <c r="Q28" s="44">
        <v>1</v>
      </c>
      <c r="R28" s="25"/>
      <c r="W28" s="25"/>
      <c r="X28" s="25"/>
      <c r="AD28" s="74" t="s">
        <v>177</v>
      </c>
      <c r="AE28" s="78" t="s">
        <v>175</v>
      </c>
      <c r="AF28" s="78" t="s">
        <v>176</v>
      </c>
    </row>
    <row r="29" spans="1:32" ht="30" customHeight="1">
      <c r="A29" s="25"/>
      <c r="E29" s="104"/>
      <c r="F29" s="104"/>
      <c r="G29" s="104"/>
      <c r="H29" s="104"/>
      <c r="I29" s="104"/>
      <c r="J29" s="104"/>
      <c r="K29" s="104"/>
      <c r="L29" s="104"/>
      <c r="M29" s="104"/>
      <c r="N29" s="104"/>
      <c r="P29" s="25"/>
      <c r="Q29" s="44" t="e">
        <f>IF(LEN(F32)&gt;1,1,0)</f>
        <v>#N/A</v>
      </c>
      <c r="R29" s="25"/>
      <c r="W29" s="25"/>
      <c r="X29" s="25"/>
      <c r="AE29" s="72"/>
      <c r="AF29" s="72"/>
    </row>
    <row r="30" spans="1:32" ht="0.9" customHeight="1">
      <c r="A30" s="25"/>
      <c r="C30" s="85"/>
      <c r="D30" s="87"/>
      <c r="E30" s="107"/>
      <c r="F30" s="107"/>
      <c r="G30" s="107"/>
      <c r="H30" s="107"/>
      <c r="I30" s="107"/>
      <c r="J30" s="107"/>
      <c r="K30" s="107"/>
      <c r="L30" s="107"/>
      <c r="M30" s="107"/>
      <c r="N30" s="107"/>
      <c r="P30" s="25"/>
      <c r="Q30" s="44">
        <v>1</v>
      </c>
      <c r="R30" s="25"/>
      <c r="W30" s="25"/>
      <c r="X30" s="25"/>
      <c r="AD30" s="75" t="s">
        <v>178</v>
      </c>
      <c r="AE30" s="79" t="s">
        <v>179</v>
      </c>
      <c r="AF30" s="79" t="s">
        <v>180</v>
      </c>
    </row>
    <row r="31" spans="1:32" ht="0.9" customHeight="1">
      <c r="A31" s="25"/>
      <c r="C31" s="85"/>
      <c r="D31" s="87"/>
      <c r="E31" s="88"/>
      <c r="F31" s="93"/>
      <c r="G31" s="93"/>
      <c r="H31" s="93"/>
      <c r="I31" s="93"/>
      <c r="J31" s="93"/>
      <c r="K31" s="93"/>
      <c r="L31" s="94"/>
      <c r="M31" s="341"/>
      <c r="N31" s="341"/>
      <c r="P31" s="25"/>
      <c r="Q31" s="44">
        <v>1</v>
      </c>
      <c r="R31" s="25"/>
      <c r="W31" s="25"/>
      <c r="X31" s="25"/>
      <c r="AD31" s="82" t="s">
        <v>177</v>
      </c>
      <c r="AE31" s="83" t="s">
        <v>175</v>
      </c>
      <c r="AF31" s="83" t="s">
        <v>176</v>
      </c>
    </row>
    <row r="32" spans="1:32" s="41" customFormat="1" ht="39.9" customHeight="1">
      <c r="A32" s="40"/>
      <c r="C32" s="103"/>
      <c r="D32" s="347" t="str">
        <f ca="1">OFFSET($AC11,0,Sprache)</f>
        <v>Mitglied vom</v>
      </c>
      <c r="E32" s="347"/>
      <c r="F32" s="349" t="e">
        <f>VLOOKUP(D27,Konfiguration_Configuration!B22:E41,4,FALSE)</f>
        <v>#N/A</v>
      </c>
      <c r="G32" s="349"/>
      <c r="H32" s="349"/>
      <c r="I32" s="349"/>
      <c r="J32" s="349"/>
      <c r="K32" s="349"/>
      <c r="L32" s="349"/>
      <c r="M32" s="349"/>
      <c r="N32" s="345" t="str">
        <f ca="1">OFFSET($AC12,0,Sprache)</f>
        <v>den</v>
      </c>
      <c r="O32" s="345"/>
      <c r="P32" s="40"/>
      <c r="Q32" s="44">
        <v>1</v>
      </c>
      <c r="R32" s="40"/>
      <c r="W32" s="40"/>
      <c r="X32" s="40"/>
      <c r="AD32" s="82" t="s">
        <v>181</v>
      </c>
      <c r="AE32" s="83" t="s">
        <v>182</v>
      </c>
      <c r="AF32" s="83" t="s">
        <v>183</v>
      </c>
    </row>
    <row r="33" spans="1:32" s="41" customFormat="1" ht="39.9" customHeight="1">
      <c r="A33" s="40"/>
      <c r="B33" s="103"/>
      <c r="C33" s="103"/>
      <c r="D33" s="103"/>
      <c r="E33" s="103"/>
      <c r="F33" s="103"/>
      <c r="G33" s="103"/>
      <c r="H33" s="103"/>
      <c r="I33" s="103"/>
      <c r="J33" s="103"/>
      <c r="K33" s="103"/>
      <c r="L33" s="103"/>
      <c r="M33" s="103"/>
      <c r="N33" s="103"/>
      <c r="O33" s="103"/>
      <c r="P33" s="40"/>
      <c r="Q33" s="44">
        <v>1</v>
      </c>
      <c r="R33" s="40"/>
      <c r="W33" s="40"/>
      <c r="X33" s="40"/>
      <c r="AD33" s="77" t="s">
        <v>177</v>
      </c>
      <c r="AE33" s="81" t="s">
        <v>175</v>
      </c>
      <c r="AF33" s="81" t="s">
        <v>176</v>
      </c>
    </row>
    <row r="34" spans="1:32" s="41" customFormat="1" ht="0.9" customHeight="1">
      <c r="A34" s="40"/>
      <c r="C34" s="39"/>
      <c r="D34" s="87"/>
      <c r="E34" s="90"/>
      <c r="F34" s="95"/>
      <c r="G34" s="95"/>
      <c r="H34" s="95"/>
      <c r="I34" s="95"/>
      <c r="J34" s="95"/>
      <c r="K34" s="95"/>
      <c r="L34" s="96"/>
      <c r="M34" s="101"/>
      <c r="N34" s="101"/>
      <c r="P34" s="40"/>
      <c r="Q34" s="44">
        <v>1</v>
      </c>
      <c r="R34" s="40"/>
      <c r="W34" s="40"/>
      <c r="X34" s="40"/>
      <c r="AD34" s="72"/>
      <c r="AE34" s="72"/>
      <c r="AF34" s="72"/>
    </row>
    <row r="35" spans="1:32" s="1" customFormat="1" ht="72" customHeight="1">
      <c r="A35" s="2"/>
      <c r="D35" s="344" t="str">
        <f>VLOOKUP(AG14,Daten!B:C,2,FALSE)</f>
        <v>SIS Inter-Bronze Stiltest</v>
      </c>
      <c r="E35" s="344"/>
      <c r="F35" s="344"/>
      <c r="G35" s="344"/>
      <c r="H35" s="344"/>
      <c r="I35" s="344"/>
      <c r="J35" s="344"/>
      <c r="K35" s="344"/>
      <c r="L35" s="344"/>
      <c r="M35" s="344"/>
      <c r="N35" s="344"/>
      <c r="O35" s="344"/>
      <c r="P35" s="2"/>
      <c r="Q35" s="44">
        <v>1</v>
      </c>
      <c r="R35" s="2"/>
      <c r="T35" s="41"/>
      <c r="U35" s="41"/>
      <c r="V35" s="41"/>
      <c r="W35" s="2"/>
      <c r="X35" s="2"/>
      <c r="AE35" s="72"/>
      <c r="AF35" s="72"/>
    </row>
    <row r="36" spans="1:32" s="1" customFormat="1" ht="0.9" customHeight="1">
      <c r="A36" s="2"/>
      <c r="C36" s="39"/>
      <c r="D36" s="87"/>
      <c r="E36" s="90"/>
      <c r="F36" s="95"/>
      <c r="G36" s="95"/>
      <c r="H36" s="95"/>
      <c r="I36" s="95"/>
      <c r="J36" s="95"/>
      <c r="K36" s="95"/>
      <c r="L36" s="96"/>
      <c r="M36" s="343"/>
      <c r="N36" s="343"/>
      <c r="P36" s="2"/>
      <c r="Q36" s="44">
        <v>1</v>
      </c>
      <c r="R36" s="2"/>
      <c r="T36" s="41"/>
      <c r="U36" s="41"/>
      <c r="V36" s="41"/>
      <c r="W36" s="2"/>
      <c r="X36" s="2"/>
    </row>
    <row r="37" spans="1:32" s="1" customFormat="1" ht="0.9" customHeight="1">
      <c r="A37" s="2"/>
      <c r="C37" s="39"/>
      <c r="D37" s="87"/>
      <c r="E37" s="90"/>
      <c r="F37" s="95"/>
      <c r="G37" s="95"/>
      <c r="H37" s="95"/>
      <c r="I37" s="95"/>
      <c r="J37" s="95"/>
      <c r="K37" s="95"/>
      <c r="L37" s="96"/>
      <c r="M37" s="343"/>
      <c r="N37" s="343"/>
      <c r="P37" s="2"/>
      <c r="Q37" s="44">
        <v>1</v>
      </c>
      <c r="R37" s="2"/>
      <c r="T37" s="41"/>
      <c r="U37" s="41"/>
      <c r="V37" s="41"/>
      <c r="W37" s="2"/>
      <c r="X37" s="2"/>
      <c r="AE37" s="72"/>
      <c r="AF37" s="72"/>
    </row>
    <row r="38" spans="1:32" s="1" customFormat="1" ht="50.1" customHeight="1">
      <c r="A38" s="2"/>
      <c r="E38" s="100"/>
      <c r="N38" s="101"/>
      <c r="O38" s="41"/>
      <c r="P38" s="2"/>
      <c r="Q38" s="44">
        <v>1</v>
      </c>
      <c r="R38" s="2"/>
      <c r="T38" s="41"/>
      <c r="U38" s="41"/>
      <c r="V38" s="41"/>
      <c r="W38" s="2"/>
      <c r="X38" s="2"/>
      <c r="AE38" s="72"/>
      <c r="AF38" s="72"/>
    </row>
    <row r="39" spans="1:32" s="1" customFormat="1" ht="0.9" customHeight="1">
      <c r="A39" s="2"/>
      <c r="C39" s="39"/>
      <c r="D39" s="87"/>
      <c r="E39" s="90"/>
      <c r="F39" s="90"/>
      <c r="G39" s="90"/>
      <c r="H39" s="90"/>
      <c r="I39" s="90"/>
      <c r="J39" s="90"/>
      <c r="K39" s="90"/>
      <c r="L39" s="91"/>
      <c r="M39" s="92"/>
      <c r="N39" s="92"/>
      <c r="P39" s="2"/>
      <c r="Q39" s="44">
        <v>1</v>
      </c>
      <c r="R39" s="2"/>
      <c r="T39" s="41"/>
      <c r="U39" s="41"/>
      <c r="V39" s="41"/>
      <c r="W39" s="2"/>
      <c r="X39" s="2"/>
      <c r="AE39" s="72"/>
      <c r="AF39" s="72"/>
    </row>
    <row r="40" spans="1:32" s="17" customFormat="1" ht="0.9" customHeight="1">
      <c r="A40" s="16"/>
      <c r="C40" s="86"/>
      <c r="D40" s="87"/>
      <c r="E40" s="88"/>
      <c r="F40" s="88"/>
      <c r="G40" s="88"/>
      <c r="H40" s="88"/>
      <c r="I40" s="88"/>
      <c r="J40" s="88"/>
      <c r="K40" s="88"/>
      <c r="L40" s="89"/>
      <c r="M40" s="342"/>
      <c r="N40" s="342"/>
      <c r="P40" s="16"/>
      <c r="Q40" s="44">
        <v>1</v>
      </c>
      <c r="R40" s="25"/>
      <c r="T40" s="41"/>
      <c r="U40" s="41"/>
      <c r="V40" s="41"/>
      <c r="W40" s="16"/>
      <c r="X40" s="16"/>
      <c r="AE40" s="72"/>
      <c r="AF40" s="72"/>
    </row>
    <row r="41" spans="1:32" ht="39.9" customHeight="1">
      <c r="A41" s="25"/>
      <c r="D41" s="106" t="str">
        <f ca="1">OFFSET($AC15,0,Sprache)</f>
        <v>am</v>
      </c>
      <c r="E41" s="346" t="str">
        <f>IF(Konfiguration_Configuration!$B$5="","",Konfiguration_Configuration!$B$5)</f>
        <v/>
      </c>
      <c r="F41" s="346"/>
      <c r="G41" s="105" t="str">
        <f ca="1">OFFSET($AC16,0,Sprache)</f>
        <v>in</v>
      </c>
      <c r="H41" s="348" t="str">
        <f>IF(Konfiguration_Configuration!$B$4="","",Konfiguration_Configuration!$B$4)</f>
        <v/>
      </c>
      <c r="I41" s="348"/>
      <c r="J41" s="348"/>
      <c r="K41" s="348"/>
      <c r="L41" s="348"/>
      <c r="M41" s="348"/>
      <c r="N41" s="347" t="str">
        <f ca="1">OFFSET($AC17,0,Sprache)</f>
        <v>bestanden hat.</v>
      </c>
      <c r="O41" s="347"/>
      <c r="P41" s="25"/>
      <c r="Q41" s="44">
        <v>1</v>
      </c>
      <c r="R41" s="25"/>
      <c r="T41" s="41"/>
      <c r="U41" s="41"/>
      <c r="V41" s="41"/>
      <c r="W41" s="25"/>
      <c r="X41" s="25"/>
      <c r="AE41" s="72"/>
      <c r="AF41" s="72"/>
    </row>
    <row r="42" spans="1:32" ht="9.9" customHeight="1">
      <c r="A42" s="25"/>
      <c r="F42" s="84"/>
      <c r="G42" s="84"/>
      <c r="H42" s="84"/>
      <c r="I42" s="84"/>
      <c r="J42" s="84"/>
      <c r="K42" s="84"/>
      <c r="L42" s="84"/>
      <c r="M42" s="84"/>
      <c r="N42" s="84"/>
      <c r="P42" s="25"/>
      <c r="Q42" s="44">
        <v>1</v>
      </c>
      <c r="R42" s="25"/>
      <c r="T42" s="41"/>
      <c r="U42" s="41"/>
      <c r="V42" s="41"/>
      <c r="W42" s="25"/>
      <c r="X42" s="25"/>
      <c r="AD42" s="74" t="s">
        <v>177</v>
      </c>
      <c r="AE42" s="78" t="s">
        <v>175</v>
      </c>
      <c r="AF42" s="78" t="s">
        <v>176</v>
      </c>
    </row>
    <row r="43" spans="1:32" ht="30" customHeight="1">
      <c r="A43" s="25"/>
      <c r="D43" s="339"/>
      <c r="E43" s="339"/>
      <c r="F43" s="339"/>
      <c r="G43" s="84"/>
      <c r="H43" s="84"/>
      <c r="I43" s="84"/>
      <c r="J43" s="84"/>
      <c r="K43" s="339"/>
      <c r="L43" s="339"/>
      <c r="M43" s="339"/>
      <c r="N43" s="339"/>
      <c r="O43" s="339"/>
      <c r="P43" s="25"/>
      <c r="Q43" s="44">
        <v>1</v>
      </c>
      <c r="R43" s="25"/>
      <c r="W43" s="25"/>
      <c r="X43" s="25"/>
      <c r="AD43" s="74" t="s">
        <v>23</v>
      </c>
      <c r="AE43" s="78" t="s">
        <v>184</v>
      </c>
      <c r="AF43" s="78" t="s">
        <v>185</v>
      </c>
    </row>
    <row r="44" spans="1:32" ht="0.9" customHeight="1">
      <c r="A44" s="25"/>
      <c r="D44" s="339"/>
      <c r="E44" s="339"/>
      <c r="F44" s="339"/>
      <c r="K44" s="339"/>
      <c r="L44" s="339"/>
      <c r="M44" s="339"/>
      <c r="N44" s="339"/>
      <c r="O44" s="339"/>
      <c r="P44" s="25"/>
      <c r="Q44" s="44">
        <v>1</v>
      </c>
      <c r="R44" s="25"/>
      <c r="W44" s="25"/>
      <c r="X44" s="25"/>
    </row>
    <row r="45" spans="1:32" ht="0.9" customHeight="1">
      <c r="A45" s="25"/>
      <c r="H45" s="47"/>
      <c r="P45" s="25"/>
      <c r="Q45" s="44">
        <v>1</v>
      </c>
      <c r="R45" s="25"/>
      <c r="W45" s="25"/>
      <c r="X45" s="25"/>
      <c r="AA45" s="97"/>
    </row>
    <row r="46" spans="1:32" ht="45" customHeight="1">
      <c r="A46" s="25"/>
      <c r="D46" s="340"/>
      <c r="E46" s="340"/>
      <c r="F46" s="340"/>
      <c r="K46" s="340"/>
      <c r="L46" s="340"/>
      <c r="M46" s="340"/>
      <c r="N46" s="340"/>
      <c r="O46" s="340"/>
      <c r="P46" s="25"/>
      <c r="Q46" s="44">
        <v>1</v>
      </c>
      <c r="R46" s="25"/>
      <c r="W46" s="25"/>
      <c r="X46" s="25"/>
    </row>
    <row r="47" spans="1:32" ht="45" customHeight="1">
      <c r="A47" s="25"/>
      <c r="D47" s="337" t="str">
        <f ca="1">OFFSET($AC43,0,Sprache)</f>
        <v>SchiedsrichterIn</v>
      </c>
      <c r="E47" s="337"/>
      <c r="F47" s="337"/>
      <c r="G47" s="337"/>
      <c r="H47" s="337"/>
      <c r="I47" s="54"/>
      <c r="J47" s="338" t="str">
        <f ca="1">OFFSET($AC18,0,Sprache)</f>
        <v>Verantwortliche(r) der Tests</v>
      </c>
      <c r="K47" s="338"/>
      <c r="L47" s="338"/>
      <c r="M47" s="338"/>
      <c r="N47" s="338"/>
      <c r="O47" s="338"/>
      <c r="P47" s="25"/>
      <c r="Q47" s="44">
        <v>1</v>
      </c>
      <c r="R47" s="25"/>
      <c r="W47" s="25"/>
      <c r="X47" s="25"/>
    </row>
    <row r="48" spans="1:32" ht="30" customHeight="1">
      <c r="A48" s="25"/>
      <c r="P48" s="25"/>
      <c r="Q48" s="44">
        <v>1</v>
      </c>
      <c r="R48" s="25"/>
      <c r="W48" s="25"/>
      <c r="X48" s="25"/>
    </row>
    <row r="49" spans="1:24" ht="54.9" customHeight="1">
      <c r="A49" s="25"/>
      <c r="C49" s="98"/>
      <c r="D49" s="336" t="str">
        <f>IF(Konfiguration_Configuration!$B$12="","",Konfiguration_Configuration!$B$12)</f>
        <v/>
      </c>
      <c r="E49" s="336"/>
      <c r="F49" s="336"/>
      <c r="G49" s="336"/>
      <c r="H49" s="336"/>
      <c r="I49" s="108"/>
      <c r="J49" s="336" t="str">
        <f>IF(Konfiguration_Configuration!$B$15="","",Konfiguration_Configuration!$B$15)</f>
        <v/>
      </c>
      <c r="K49" s="336"/>
      <c r="L49" s="336"/>
      <c r="M49" s="336"/>
      <c r="N49" s="336"/>
      <c r="O49" s="336"/>
      <c r="P49" s="25"/>
      <c r="Q49" s="44">
        <v>1</v>
      </c>
      <c r="R49" s="25"/>
      <c r="W49" s="25"/>
      <c r="X49" s="25"/>
    </row>
    <row r="50" spans="1:24" ht="0.9" customHeight="1">
      <c r="A50" s="25"/>
      <c r="P50" s="25"/>
      <c r="R50" s="25"/>
      <c r="W50" s="25"/>
      <c r="X50" s="25"/>
    </row>
    <row r="51" spans="1:24">
      <c r="A51" s="25"/>
      <c r="B51" s="25"/>
      <c r="C51" s="25"/>
      <c r="D51" s="25"/>
      <c r="E51" s="25"/>
      <c r="F51" s="25"/>
      <c r="G51" s="25"/>
      <c r="H51" s="25"/>
      <c r="I51" s="25"/>
      <c r="J51" s="25"/>
      <c r="K51" s="25"/>
      <c r="L51" s="25"/>
      <c r="M51" s="25"/>
      <c r="N51" s="25"/>
      <c r="O51" s="25"/>
      <c r="P51" s="25"/>
      <c r="Q51" s="25"/>
      <c r="R51" s="25"/>
      <c r="W51" s="25"/>
      <c r="X51" s="25"/>
    </row>
    <row r="52" spans="1:24">
      <c r="A52" s="25"/>
      <c r="B52" s="25"/>
      <c r="C52" s="25"/>
      <c r="D52" s="25"/>
      <c r="E52" s="25"/>
      <c r="F52" s="25"/>
      <c r="G52" s="25"/>
      <c r="H52" s="25"/>
      <c r="I52" s="25"/>
      <c r="J52" s="25"/>
      <c r="K52" s="25"/>
      <c r="L52" s="25"/>
      <c r="M52" s="25"/>
      <c r="N52" s="25"/>
      <c r="O52" s="25"/>
      <c r="P52" s="25"/>
      <c r="Q52" s="25"/>
      <c r="R52" s="25"/>
      <c r="W52" s="25"/>
      <c r="X52" s="25"/>
    </row>
  </sheetData>
  <sheetProtection algorithmName="SHA-512" hashValue="L0ibZN9Vk4+0pbEMdluwp49+ikOVEwW4XqfoLoV3exDdwv16vEC7uS6DEctdrHeGGd6BT/VIz3pkWdgFl3Nkxw==" saltValue="GFEZhj1iHcBls3wAnPsKFg==" spinCount="100000" sheet="1" selectLockedCells="1"/>
  <protectedRanges>
    <protectedRange sqref="F32" name="Bereich3"/>
    <protectedRange sqref="D35" name="Bereich1"/>
    <protectedRange sqref="D27:E27" name="Bereich2"/>
  </protectedRanges>
  <mergeCells count="25">
    <mergeCell ref="D27:N27"/>
    <mergeCell ref="C2:G2"/>
    <mergeCell ref="B15:O19"/>
    <mergeCell ref="F25:L25"/>
    <mergeCell ref="B13:O13"/>
    <mergeCell ref="B10:O10"/>
    <mergeCell ref="E41:F41"/>
    <mergeCell ref="D32:E32"/>
    <mergeCell ref="H41:M41"/>
    <mergeCell ref="N41:O41"/>
    <mergeCell ref="M37:N37"/>
    <mergeCell ref="F32:M32"/>
    <mergeCell ref="M31:N31"/>
    <mergeCell ref="M40:N40"/>
    <mergeCell ref="M36:N36"/>
    <mergeCell ref="D35:O35"/>
    <mergeCell ref="N32:O32"/>
    <mergeCell ref="J49:O49"/>
    <mergeCell ref="D49:H49"/>
    <mergeCell ref="D47:H47"/>
    <mergeCell ref="J47:O47"/>
    <mergeCell ref="K43:O44"/>
    <mergeCell ref="D46:F46"/>
    <mergeCell ref="K46:O46"/>
    <mergeCell ref="D43:F44"/>
  </mergeCells>
  <phoneticPr fontId="0" type="noConversion"/>
  <conditionalFormatting sqref="D27:N27">
    <cfRule type="expression" dxfId="8" priority="4" stopIfTrue="1">
      <formula>(OR(D27="Name",D27=""))</formula>
    </cfRule>
  </conditionalFormatting>
  <conditionalFormatting sqref="D35:O35">
    <cfRule type="expression" dxfId="7" priority="3" stopIfTrue="1">
      <formula>(OR(D35="",D35="Testnamen"))</formula>
    </cfRule>
  </conditionalFormatting>
  <conditionalFormatting sqref="F32">
    <cfRule type="expression" dxfId="6" priority="2" stopIfTrue="1">
      <formula>(OR(F32="",F32="Klub"))</formula>
    </cfRule>
  </conditionalFormatting>
  <conditionalFormatting sqref="R47">
    <cfRule type="expression" dxfId="5" priority="1" stopIfTrue="1">
      <formula>(Höhe_TF1&lt;=15)</formula>
    </cfRule>
  </conditionalFormatting>
  <dataValidations count="1">
    <dataValidation type="list" allowBlank="1" showInputMessage="1" showErrorMessage="1" sqref="D27" xr:uid="{00000000-0002-0000-0200-000000000000}">
      <formula1>L_Teilnehmer</formula1>
    </dataValidation>
  </dataValidations>
  <printOptions horizontalCentered="1"/>
  <pageMargins left="0.11811023622047245" right="0.19685039370078741" top="0.43307086614173229" bottom="0.31496062992125984" header="0.31496062992125984" footer="0.31496062992125984"/>
  <pageSetup paperSize="9" scale="74" orientation="portrait" horizontalDpi="300" r:id="rId1"/>
  <headerFooter alignWithMargins="0"/>
  <ignoredErrors>
    <ignoredError sqref="B33 A32:A33 C32:C33 D33:E33 F33:L33 M33:O33" emptyCellReference="1"/>
    <ignoredError sqref="Q29 F32 U9:U14 V10:V14 U16:V1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41313" r:id="rId4" name="Spinner 1">
              <controlPr defaultSize="0" autoPict="0" macro="[0]!Höhe_Textfeld_2">
                <anchor moveWithCells="1" sizeWithCells="1">
                  <from>
                    <xdr:col>17</xdr:col>
                    <xdr:colOff>45720</xdr:colOff>
                    <xdr:row>44</xdr:row>
                    <xdr:rowOff>0</xdr:rowOff>
                  </from>
                  <to>
                    <xdr:col>17</xdr:col>
                    <xdr:colOff>236220</xdr:colOff>
                    <xdr:row>44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Konfiguration_Configuration!$L$1:$N$1</xm:f>
          </x14:formula1>
          <xm:sqref>AA1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246C-3BDC-4B4C-B5B1-B1BBA31D3A2F}">
  <sheetPr>
    <tabColor rgb="FFCCFFCC"/>
  </sheetPr>
  <dimension ref="A1:AG51"/>
  <sheetViews>
    <sheetView showGridLines="0" zoomScale="75" zoomScaleNormal="75" workbookViewId="0">
      <selection activeCell="AA1" sqref="AA1"/>
    </sheetView>
  </sheetViews>
  <sheetFormatPr baseColWidth="10" defaultColWidth="11.44140625" defaultRowHeight="15" outlineLevelCol="1"/>
  <cols>
    <col min="1" max="1" width="5.6640625" style="26" customWidth="1"/>
    <col min="2" max="2" width="6.44140625" style="26" hidden="1" customWidth="1"/>
    <col min="3" max="3" width="29.6640625" style="26" customWidth="1"/>
    <col min="4" max="4" width="5.6640625" style="26" customWidth="1"/>
    <col min="5" max="5" width="15.6640625" style="26" customWidth="1"/>
    <col min="6" max="6" width="10.6640625" style="26" customWidth="1"/>
    <col min="7" max="12" width="5.6640625" style="26" customWidth="1"/>
    <col min="13" max="15" width="10.6640625" style="26" customWidth="1"/>
    <col min="16" max="16" width="2" style="26" customWidth="1" collapsed="1"/>
    <col min="17" max="17" width="14.88671875" style="39" hidden="1" customWidth="1" outlineLevel="1"/>
    <col min="18" max="18" width="3.5546875" style="26" hidden="1" customWidth="1" outlineLevel="1"/>
    <col min="19" max="19" width="11.44140625" style="26" hidden="1" customWidth="1" outlineLevel="1"/>
    <col min="20" max="20" width="5.6640625" style="26" hidden="1" customWidth="1" outlineLevel="1"/>
    <col min="21" max="21" width="13.44140625" style="26" hidden="1" customWidth="1" outlineLevel="1"/>
    <col min="22" max="22" width="28.109375" style="26" hidden="1" customWidth="1" outlineLevel="1"/>
    <col min="23" max="23" width="2.109375" style="26" customWidth="1" collapsed="1"/>
    <col min="24" max="25" width="2.44140625" style="26" customWidth="1"/>
    <col min="26" max="26" width="9.6640625" style="26" bestFit="1" customWidth="1"/>
    <col min="27" max="27" width="17.44140625" style="26" bestFit="1" customWidth="1"/>
    <col min="28" max="28" width="14.44140625" style="26" customWidth="1"/>
    <col min="29" max="29" width="4.109375" style="26" customWidth="1"/>
    <col min="30" max="30" width="17.33203125" style="72" hidden="1" customWidth="1" outlineLevel="1"/>
    <col min="31" max="32" width="17.33203125" style="26" hidden="1" customWidth="1" outlineLevel="1"/>
    <col min="33" max="33" width="4.109375" style="26" hidden="1" customWidth="1" collapsed="1"/>
    <col min="34" max="34" width="14.44140625" style="26" customWidth="1"/>
    <col min="35" max="16384" width="11.44140625" style="26"/>
  </cols>
  <sheetData>
    <row r="1" spans="1:33" ht="33.75" customHeight="1">
      <c r="A1" s="25"/>
      <c r="B1" s="25"/>
      <c r="C1" s="25"/>
      <c r="D1" s="25"/>
      <c r="E1" s="25"/>
      <c r="F1" s="45"/>
      <c r="G1" s="45"/>
      <c r="H1" s="45"/>
      <c r="I1" s="45"/>
      <c r="J1" s="45"/>
      <c r="K1" s="45"/>
      <c r="L1" s="45"/>
      <c r="M1" s="45"/>
      <c r="N1" s="45"/>
      <c r="O1" s="25"/>
      <c r="P1" s="25"/>
      <c r="Q1" s="4"/>
      <c r="R1" s="4"/>
      <c r="S1" s="28"/>
      <c r="T1" s="28"/>
      <c r="W1" s="4"/>
      <c r="X1" s="4"/>
      <c r="Z1" s="155" t="str">
        <f>Berater</f>
        <v>Sprache</v>
      </c>
      <c r="AA1" s="46" t="s">
        <v>0</v>
      </c>
      <c r="AB1" s="25"/>
      <c r="AD1" s="73" t="s">
        <v>140</v>
      </c>
      <c r="AE1" s="73" t="s">
        <v>1</v>
      </c>
      <c r="AF1" s="73" t="s">
        <v>2</v>
      </c>
    </row>
    <row r="2" spans="1:33" ht="20.100000000000001" customHeight="1">
      <c r="A2" s="25"/>
      <c r="C2" s="351"/>
      <c r="D2" s="351"/>
      <c r="E2" s="351"/>
      <c r="F2" s="351"/>
      <c r="G2" s="351"/>
      <c r="J2" s="253"/>
      <c r="L2" s="28"/>
      <c r="M2" s="28"/>
      <c r="N2" s="31"/>
      <c r="P2" s="25"/>
      <c r="Q2" s="4"/>
      <c r="R2" s="4"/>
      <c r="S2" s="28"/>
      <c r="T2" s="28"/>
      <c r="U2" s="43">
        <f>IF($AA$1=$AF$1,3,IF($AA$1=$AE$1,2,IF($AA$1=$AD$1,1,1)))</f>
        <v>1</v>
      </c>
      <c r="V2" s="26" t="s">
        <v>4</v>
      </c>
      <c r="W2" s="4"/>
      <c r="X2" s="4"/>
      <c r="Z2" s="25"/>
      <c r="AA2" s="25"/>
      <c r="AB2" s="25"/>
      <c r="AD2" s="26"/>
    </row>
    <row r="3" spans="1:33" ht="0.75" hidden="1" customHeight="1">
      <c r="A3" s="25"/>
      <c r="C3" s="38"/>
      <c r="I3" s="49"/>
      <c r="J3" s="49"/>
      <c r="K3" s="49"/>
      <c r="L3" s="49"/>
      <c r="M3" s="49"/>
      <c r="N3" s="49"/>
      <c r="P3" s="25"/>
      <c r="Q3" s="4"/>
      <c r="R3" s="4"/>
      <c r="S3" s="28"/>
      <c r="T3" s="28"/>
      <c r="W3" s="4"/>
      <c r="X3" s="4"/>
      <c r="AE3" s="72"/>
      <c r="AF3" s="72"/>
    </row>
    <row r="4" spans="1:33" ht="20.100000000000001" customHeight="1">
      <c r="A4" s="25"/>
      <c r="P4" s="25"/>
      <c r="Q4" s="25"/>
      <c r="R4" s="25"/>
      <c r="W4" s="25"/>
      <c r="X4" s="25"/>
      <c r="AE4" s="72"/>
      <c r="AF4" s="72"/>
    </row>
    <row r="5" spans="1:33" ht="20.100000000000001" customHeight="1">
      <c r="A5" s="25"/>
      <c r="P5" s="25"/>
      <c r="Q5" s="42" t="s">
        <v>141</v>
      </c>
      <c r="R5" s="25"/>
      <c r="U5" s="59">
        <f ca="1">OFFSET(Konfiguration_Configuration!$B$21,$U$8,0)</f>
        <v>0</v>
      </c>
      <c r="W5" s="25"/>
      <c r="X5" s="25"/>
      <c r="AD5" s="74" t="s">
        <v>142</v>
      </c>
      <c r="AE5" s="78" t="s">
        <v>143</v>
      </c>
      <c r="AF5" s="78" t="s">
        <v>144</v>
      </c>
    </row>
    <row r="6" spans="1:33" ht="20.100000000000001" customHeight="1">
      <c r="A6" s="25"/>
      <c r="P6" s="25"/>
      <c r="Q6" s="44">
        <v>1</v>
      </c>
      <c r="R6" s="25"/>
      <c r="W6" s="25"/>
      <c r="X6" s="25"/>
      <c r="AE6" s="72"/>
      <c r="AF6" s="72"/>
    </row>
    <row r="7" spans="1:33">
      <c r="A7" s="25"/>
      <c r="P7" s="25"/>
      <c r="Q7" s="44">
        <v>1</v>
      </c>
      <c r="R7" s="25"/>
      <c r="W7" s="25"/>
      <c r="X7" s="25"/>
      <c r="AE7" s="72"/>
      <c r="AF7" s="72"/>
    </row>
    <row r="8" spans="1:33" ht="20.100000000000001" customHeight="1">
      <c r="A8" s="25"/>
      <c r="P8" s="25"/>
      <c r="Q8" s="44">
        <v>1</v>
      </c>
      <c r="R8" s="25"/>
      <c r="U8" s="46">
        <v>1</v>
      </c>
      <c r="V8" s="26" t="s">
        <v>145</v>
      </c>
      <c r="W8" s="25"/>
      <c r="X8" s="25"/>
      <c r="AD8" s="75" t="s">
        <v>146</v>
      </c>
      <c r="AE8" s="79" t="s">
        <v>147</v>
      </c>
      <c r="AF8" s="79" t="s">
        <v>148</v>
      </c>
    </row>
    <row r="9" spans="1:33" ht="37.5" customHeight="1">
      <c r="A9" s="25"/>
      <c r="D9" s="235" t="str">
        <f ca="1">OFFSET($AC9,0,SpracheB)</f>
        <v>Bestätigung</v>
      </c>
      <c r="P9" s="25"/>
      <c r="Q9" s="44">
        <v>1</v>
      </c>
      <c r="R9" s="25"/>
      <c r="U9" s="52"/>
      <c r="V9" s="26" t="s">
        <v>149</v>
      </c>
      <c r="W9" s="25"/>
      <c r="X9" s="25"/>
      <c r="AD9" s="82" t="s">
        <v>186</v>
      </c>
      <c r="AE9" s="83" t="s">
        <v>187</v>
      </c>
      <c r="AF9" s="83" t="s">
        <v>188</v>
      </c>
    </row>
    <row r="10" spans="1:33" ht="20.100000000000001" customHeight="1">
      <c r="A10" s="25"/>
      <c r="B10" s="354"/>
      <c r="C10" s="354"/>
      <c r="D10" s="354"/>
      <c r="E10" s="354"/>
      <c r="F10" s="354"/>
      <c r="G10" s="354"/>
      <c r="H10" s="354"/>
      <c r="I10" s="354"/>
      <c r="J10" s="354"/>
      <c r="K10" s="354"/>
      <c r="L10" s="354"/>
      <c r="M10" s="354"/>
      <c r="N10" s="354"/>
      <c r="O10" s="354"/>
      <c r="P10" s="25"/>
      <c r="Q10" s="44">
        <v>1</v>
      </c>
      <c r="R10" s="25"/>
      <c r="U10" s="43">
        <f ca="1">INDIRECT( $U$9 &amp; "$Y$46" )</f>
        <v>0</v>
      </c>
      <c r="V10" s="26">
        <f ca="1">INDIRECT( $U$9 &amp; "$z$46" )</f>
        <v>0</v>
      </c>
      <c r="W10" s="25"/>
      <c r="X10" s="25"/>
      <c r="AD10" s="82" t="s">
        <v>153</v>
      </c>
      <c r="AE10" s="83" t="s">
        <v>154</v>
      </c>
      <c r="AF10" s="83" t="s">
        <v>155</v>
      </c>
    </row>
    <row r="11" spans="1:33" ht="20.100000000000001" customHeight="1">
      <c r="A11" s="25"/>
      <c r="P11" s="25"/>
      <c r="Q11" s="44">
        <v>1</v>
      </c>
      <c r="R11" s="25"/>
      <c r="U11" s="43">
        <f ca="1">INDIRECT( $U$9 &amp; "$Y$47" )</f>
        <v>0</v>
      </c>
      <c r="V11" s="26">
        <f ca="1">INDIRECT( $U$9 &amp; "$z$47" )</f>
        <v>0</v>
      </c>
      <c r="W11" s="25"/>
      <c r="X11" s="25"/>
      <c r="AD11" s="82" t="s">
        <v>156</v>
      </c>
      <c r="AE11" s="83" t="s">
        <v>189</v>
      </c>
      <c r="AF11" s="83" t="s">
        <v>158</v>
      </c>
    </row>
    <row r="12" spans="1:33" ht="20.100000000000001" customHeight="1">
      <c r="A12" s="25"/>
      <c r="P12" s="25"/>
      <c r="Q12" s="44">
        <v>1</v>
      </c>
      <c r="R12" s="25"/>
      <c r="U12" s="43">
        <f ca="1">INDIRECT( $U$9 &amp; "$Y$48" )</f>
        <v>0</v>
      </c>
      <c r="V12" s="26">
        <f ca="1">INDIRECT( $U$9 &amp; "$z$48" )</f>
        <v>0</v>
      </c>
      <c r="W12" s="25"/>
      <c r="X12" s="25"/>
      <c r="AD12" s="77" t="s">
        <v>159</v>
      </c>
      <c r="AE12" s="81" t="s">
        <v>160</v>
      </c>
      <c r="AF12" s="81" t="s">
        <v>161</v>
      </c>
    </row>
    <row r="13" spans="1:33" ht="19.5" customHeight="1">
      <c r="A13" s="25"/>
      <c r="P13" s="25"/>
      <c r="Q13" s="44">
        <v>1</v>
      </c>
      <c r="R13" s="25"/>
      <c r="U13" s="43">
        <f ca="1">INDIRECT( $U$9 &amp; "$Y$50" )</f>
        <v>0</v>
      </c>
      <c r="V13" s="26">
        <f ca="1">INDIRECT( $U$9 &amp; "$z$50" )</f>
        <v>0</v>
      </c>
      <c r="W13" s="25"/>
      <c r="X13" s="25"/>
      <c r="AD13" s="75"/>
      <c r="AE13" s="79"/>
      <c r="AF13" s="79"/>
      <c r="AG13" s="26" t="str">
        <f>CONCATENATE(AA$1,VLOOKUP(Testname,Daten!C:D,2,FALSE))</f>
        <v>DeutschStil Interbronze</v>
      </c>
    </row>
    <row r="14" spans="1:33" ht="20.100000000000001" customHeight="1">
      <c r="A14" s="25"/>
      <c r="B14" s="355" t="str">
        <f ca="1">OFFSET($AC16,0,SpracheB)</f>
        <v>Dieses Schreiben ist während 13 Monaten ab bestandenem ersten Teil des entsprechenden Tests gültig. Es muss an jeden folgenden Test mitgenommen und zusammen mit der Lizenzkarte dem Schiedsrichter vorgelegt werden. Nach 13 Monaten endet die Gültigkeit.</v>
      </c>
      <c r="C14" s="355"/>
      <c r="D14" s="355"/>
      <c r="E14" s="355"/>
      <c r="F14" s="355"/>
      <c r="G14" s="355"/>
      <c r="H14" s="355"/>
      <c r="I14" s="355"/>
      <c r="J14" s="355"/>
      <c r="K14" s="355"/>
      <c r="L14" s="355"/>
      <c r="M14" s="355"/>
      <c r="N14" s="355"/>
      <c r="O14" s="355"/>
      <c r="P14" s="25"/>
      <c r="Q14" s="44">
        <v>1</v>
      </c>
      <c r="R14" s="25"/>
      <c r="W14" s="25"/>
      <c r="X14" s="25"/>
      <c r="AD14" s="82" t="s">
        <v>162</v>
      </c>
      <c r="AE14" s="83" t="s">
        <v>163</v>
      </c>
      <c r="AF14" s="83" t="s">
        <v>164</v>
      </c>
    </row>
    <row r="15" spans="1:33" ht="20.100000000000001" customHeight="1">
      <c r="A15" s="25"/>
      <c r="B15" s="355"/>
      <c r="C15" s="355"/>
      <c r="D15" s="355"/>
      <c r="E15" s="355"/>
      <c r="F15" s="355"/>
      <c r="G15" s="355"/>
      <c r="H15" s="355"/>
      <c r="I15" s="355"/>
      <c r="J15" s="355"/>
      <c r="K15" s="355"/>
      <c r="L15" s="355"/>
      <c r="M15" s="355"/>
      <c r="N15" s="355"/>
      <c r="O15" s="355"/>
      <c r="P15" s="25"/>
      <c r="Q15" s="44">
        <v>1</v>
      </c>
      <c r="R15" s="25"/>
      <c r="U15" s="43">
        <f ca="1">INDIRECT( $U$9 &amp; "$Y$52" )</f>
        <v>0</v>
      </c>
      <c r="V15" s="26">
        <f ca="1">INDIRECT( $U$9 &amp; "$z$52" )</f>
        <v>0</v>
      </c>
      <c r="W15" s="25"/>
      <c r="X15" s="25"/>
      <c r="AD15" s="82" t="s">
        <v>165</v>
      </c>
      <c r="AE15" s="83" t="s">
        <v>166</v>
      </c>
      <c r="AF15" s="83" t="s">
        <v>167</v>
      </c>
    </row>
    <row r="16" spans="1:33" ht="20.100000000000001" customHeight="1">
      <c r="A16" s="25"/>
      <c r="B16" s="355"/>
      <c r="C16" s="355"/>
      <c r="D16" s="355"/>
      <c r="E16" s="355"/>
      <c r="F16" s="355"/>
      <c r="G16" s="355"/>
      <c r="H16" s="355"/>
      <c r="I16" s="355"/>
      <c r="J16" s="355"/>
      <c r="K16" s="355"/>
      <c r="L16" s="355"/>
      <c r="M16" s="355"/>
      <c r="N16" s="355"/>
      <c r="O16" s="355"/>
      <c r="P16" s="25"/>
      <c r="Q16" s="44">
        <v>1</v>
      </c>
      <c r="R16" s="25"/>
      <c r="U16" s="53" t="str">
        <f ca="1">OFFSET($AC41,0,SpracheB)</f>
        <v>deutsch</v>
      </c>
      <c r="V16" s="26" t="s">
        <v>168</v>
      </c>
      <c r="W16" s="25"/>
      <c r="X16" s="25"/>
      <c r="AD16" s="124" t="s">
        <v>190</v>
      </c>
      <c r="AE16" s="236" t="s">
        <v>191</v>
      </c>
      <c r="AF16" s="83" t="s">
        <v>192</v>
      </c>
    </row>
    <row r="17" spans="1:32" ht="20.100000000000001" customHeight="1">
      <c r="A17" s="25"/>
      <c r="B17" s="355"/>
      <c r="C17" s="355"/>
      <c r="D17" s="355"/>
      <c r="E17" s="355"/>
      <c r="F17" s="355"/>
      <c r="G17" s="355"/>
      <c r="H17" s="355"/>
      <c r="I17" s="355"/>
      <c r="J17" s="355"/>
      <c r="K17" s="355"/>
      <c r="L17" s="355"/>
      <c r="M17" s="355"/>
      <c r="N17" s="355"/>
      <c r="O17" s="355"/>
      <c r="P17" s="25"/>
      <c r="Q17" s="44">
        <v>1</v>
      </c>
      <c r="R17" s="25"/>
      <c r="U17" s="71">
        <f>DATE( YEAR(Datum)+1, MONTH(Datum), DAY(Datum) + IF(OR(MONTH(Datum)=2,AND(MONTH(Datum)=1,DAY(Datum)&gt;30)),28,30) )</f>
        <v>396</v>
      </c>
      <c r="V17" s="26" t="s">
        <v>171</v>
      </c>
      <c r="W17" s="25"/>
      <c r="X17" s="25"/>
      <c r="AD17" s="82" t="s">
        <v>172</v>
      </c>
      <c r="AE17" s="83" t="s">
        <v>30</v>
      </c>
      <c r="AF17" s="83" t="s">
        <v>173</v>
      </c>
    </row>
    <row r="18" spans="1:32" ht="15" customHeight="1">
      <c r="A18" s="25"/>
      <c r="B18" s="355"/>
      <c r="C18" s="355"/>
      <c r="D18" s="355"/>
      <c r="E18" s="355"/>
      <c r="F18" s="355"/>
      <c r="G18" s="355"/>
      <c r="H18" s="355"/>
      <c r="I18" s="355"/>
      <c r="J18" s="355"/>
      <c r="K18" s="355"/>
      <c r="L18" s="355"/>
      <c r="M18" s="355"/>
      <c r="N18" s="355"/>
      <c r="O18" s="355"/>
      <c r="P18" s="25"/>
      <c r="Q18" s="44"/>
      <c r="R18" s="25"/>
      <c r="W18" s="25"/>
      <c r="X18" s="25"/>
      <c r="AD18" s="77" t="s">
        <v>174</v>
      </c>
      <c r="AE18" s="81" t="s">
        <v>175</v>
      </c>
      <c r="AF18" s="81" t="s">
        <v>176</v>
      </c>
    </row>
    <row r="19" spans="1:32" ht="15.75" customHeight="1">
      <c r="A19" s="25"/>
      <c r="P19" s="99"/>
      <c r="Q19" s="99"/>
      <c r="R19" s="99"/>
      <c r="S19" s="99"/>
      <c r="T19" s="99"/>
      <c r="U19" s="99"/>
      <c r="V19" s="99"/>
      <c r="W19" s="99"/>
      <c r="X19" s="25"/>
      <c r="AE19" s="72"/>
      <c r="AF19" s="72"/>
    </row>
    <row r="20" spans="1:32" ht="20.100000000000001" customHeight="1">
      <c r="A20" s="25"/>
      <c r="P20" s="25"/>
      <c r="Q20" s="44">
        <v>1</v>
      </c>
      <c r="R20" s="25"/>
      <c r="W20" s="25"/>
      <c r="X20" s="25"/>
      <c r="AD20" s="75" t="s">
        <v>177</v>
      </c>
      <c r="AE20" s="79" t="s">
        <v>175</v>
      </c>
      <c r="AF20" s="79" t="s">
        <v>176</v>
      </c>
    </row>
    <row r="21" spans="1:32" ht="20.100000000000001" customHeight="1">
      <c r="A21" s="25"/>
      <c r="P21" s="25"/>
      <c r="Q21" s="44">
        <v>1</v>
      </c>
      <c r="R21" s="25"/>
      <c r="W21" s="25"/>
      <c r="X21" s="25"/>
      <c r="AD21" s="76"/>
      <c r="AE21" s="80"/>
      <c r="AF21" s="80"/>
    </row>
    <row r="22" spans="1:32" ht="20.100000000000001" customHeight="1">
      <c r="A22" s="25"/>
      <c r="P22" s="25"/>
      <c r="Q22" s="44">
        <v>1</v>
      </c>
      <c r="R22" s="25"/>
      <c r="W22" s="25"/>
      <c r="X22" s="25"/>
      <c r="AD22" s="82" t="s">
        <v>177</v>
      </c>
      <c r="AE22" s="83" t="s">
        <v>175</v>
      </c>
      <c r="AF22" s="83" t="s">
        <v>176</v>
      </c>
    </row>
    <row r="23" spans="1:32" ht="20.100000000000001" customHeight="1">
      <c r="A23" s="25"/>
      <c r="P23" s="25"/>
      <c r="Q23" s="44">
        <v>1</v>
      </c>
      <c r="R23" s="25"/>
      <c r="W23" s="25"/>
      <c r="X23" s="25"/>
      <c r="AD23" s="77" t="s">
        <v>177</v>
      </c>
      <c r="AE23" s="81" t="s">
        <v>175</v>
      </c>
      <c r="AF23" s="81" t="s">
        <v>176</v>
      </c>
    </row>
    <row r="24" spans="1:32" ht="20.100000000000001" customHeight="1">
      <c r="A24" s="25"/>
      <c r="C24" s="102"/>
      <c r="D24" s="102"/>
      <c r="E24" s="102"/>
      <c r="F24" s="345" t="str">
        <f ca="1">OFFSET($AC10,0,SpracheB)</f>
        <v>dass</v>
      </c>
      <c r="G24" s="345"/>
      <c r="H24" s="345"/>
      <c r="I24" s="345"/>
      <c r="J24" s="345"/>
      <c r="K24" s="345"/>
      <c r="L24" s="345"/>
      <c r="M24" s="102"/>
      <c r="N24" s="102"/>
      <c r="O24" s="87"/>
      <c r="P24" s="25"/>
      <c r="Q24" s="44">
        <v>1</v>
      </c>
      <c r="R24" s="25"/>
      <c r="W24" s="25"/>
      <c r="X24" s="25"/>
      <c r="AE24" s="72"/>
      <c r="AF24" s="72"/>
    </row>
    <row r="25" spans="1:32" ht="13.5" customHeight="1">
      <c r="A25" s="25"/>
      <c r="C25" s="103"/>
      <c r="D25" s="103"/>
      <c r="E25" s="103"/>
      <c r="F25" s="103"/>
      <c r="G25" s="103"/>
      <c r="H25" s="103"/>
      <c r="I25" s="103"/>
      <c r="J25" s="103"/>
      <c r="K25" s="103"/>
      <c r="L25" s="103"/>
      <c r="M25" s="103"/>
      <c r="N25" s="103"/>
      <c r="O25" s="103"/>
      <c r="P25" s="25"/>
      <c r="Q25" s="44">
        <v>1</v>
      </c>
      <c r="R25" s="25"/>
      <c r="W25" s="25"/>
      <c r="X25" s="25"/>
      <c r="AE25" s="72"/>
      <c r="AF25" s="72"/>
    </row>
    <row r="26" spans="1:32" ht="69.900000000000006" customHeight="1">
      <c r="A26" s="25"/>
      <c r="B26" s="103"/>
      <c r="C26" s="103"/>
      <c r="D26" s="350" t="s">
        <v>193</v>
      </c>
      <c r="E26" s="350"/>
      <c r="F26" s="350"/>
      <c r="G26" s="350"/>
      <c r="H26" s="350"/>
      <c r="I26" s="350"/>
      <c r="J26" s="350"/>
      <c r="K26" s="350"/>
      <c r="L26" s="350"/>
      <c r="M26" s="350"/>
      <c r="N26" s="350"/>
      <c r="O26" s="103"/>
      <c r="P26" s="25"/>
      <c r="Q26" s="44">
        <v>1</v>
      </c>
      <c r="R26" s="25"/>
      <c r="W26" s="25"/>
      <c r="X26" s="25"/>
      <c r="AE26" s="72"/>
      <c r="AF26" s="72"/>
    </row>
    <row r="27" spans="1:32" ht="15" customHeight="1">
      <c r="A27" s="25"/>
      <c r="C27" s="103"/>
      <c r="D27" s="103"/>
      <c r="E27" s="103"/>
      <c r="F27" s="103"/>
      <c r="G27" s="103"/>
      <c r="H27" s="103"/>
      <c r="I27" s="103"/>
      <c r="J27" s="103"/>
      <c r="K27" s="103"/>
      <c r="L27" s="103"/>
      <c r="M27" s="103"/>
      <c r="N27" s="103"/>
      <c r="O27" s="103"/>
      <c r="P27" s="25"/>
      <c r="Q27" s="44">
        <v>1</v>
      </c>
      <c r="R27" s="25"/>
      <c r="W27" s="25"/>
      <c r="X27" s="25"/>
      <c r="AD27" s="74" t="s">
        <v>177</v>
      </c>
      <c r="AE27" s="78" t="s">
        <v>175</v>
      </c>
      <c r="AF27" s="78" t="s">
        <v>176</v>
      </c>
    </row>
    <row r="28" spans="1:32" ht="30" customHeight="1">
      <c r="A28" s="25"/>
      <c r="E28" s="104"/>
      <c r="F28" s="104"/>
      <c r="G28" s="104"/>
      <c r="H28" s="104"/>
      <c r="I28" s="104"/>
      <c r="J28" s="104"/>
      <c r="K28" s="104"/>
      <c r="L28" s="104"/>
      <c r="M28" s="104"/>
      <c r="N28" s="104"/>
      <c r="P28" s="25"/>
      <c r="Q28" s="44" t="e">
        <f>IF(LEN(F31)&gt;1,1,0)</f>
        <v>#N/A</v>
      </c>
      <c r="R28" s="25"/>
      <c r="W28" s="25"/>
      <c r="X28" s="25"/>
      <c r="AE28" s="72"/>
      <c r="AF28" s="72"/>
    </row>
    <row r="29" spans="1:32" ht="0.9" customHeight="1">
      <c r="A29" s="25"/>
      <c r="C29" s="85"/>
      <c r="D29" s="87"/>
      <c r="E29" s="107"/>
      <c r="F29" s="107"/>
      <c r="G29" s="107"/>
      <c r="H29" s="107"/>
      <c r="I29" s="107"/>
      <c r="J29" s="107"/>
      <c r="K29" s="107"/>
      <c r="L29" s="107"/>
      <c r="M29" s="107"/>
      <c r="N29" s="107"/>
      <c r="P29" s="25"/>
      <c r="Q29" s="44">
        <v>1</v>
      </c>
      <c r="R29" s="25"/>
      <c r="W29" s="25"/>
      <c r="X29" s="25"/>
      <c r="AD29" s="75" t="s">
        <v>178</v>
      </c>
      <c r="AE29" s="79" t="s">
        <v>179</v>
      </c>
      <c r="AF29" s="79" t="s">
        <v>180</v>
      </c>
    </row>
    <row r="30" spans="1:32" ht="0.9" customHeight="1">
      <c r="A30" s="25"/>
      <c r="C30" s="85"/>
      <c r="D30" s="87"/>
      <c r="E30" s="88"/>
      <c r="F30" s="93"/>
      <c r="G30" s="93"/>
      <c r="H30" s="93"/>
      <c r="I30" s="93"/>
      <c r="J30" s="93"/>
      <c r="K30" s="93"/>
      <c r="L30" s="94"/>
      <c r="M30" s="341"/>
      <c r="N30" s="341"/>
      <c r="P30" s="25"/>
      <c r="Q30" s="44">
        <v>1</v>
      </c>
      <c r="R30" s="25"/>
      <c r="W30" s="25"/>
      <c r="X30" s="25"/>
      <c r="AD30" s="82" t="s">
        <v>177</v>
      </c>
      <c r="AE30" s="83" t="s">
        <v>175</v>
      </c>
      <c r="AF30" s="83" t="s">
        <v>176</v>
      </c>
    </row>
    <row r="31" spans="1:32" s="41" customFormat="1" ht="39.9" customHeight="1">
      <c r="A31" s="40"/>
      <c r="C31" s="103"/>
      <c r="D31" s="347" t="str">
        <f ca="1">OFFSET($AC11,0,SpracheB)</f>
        <v>Mitglied vom</v>
      </c>
      <c r="E31" s="347"/>
      <c r="F31" s="349" t="e">
        <f>VLOOKUP(D26,Konfiguration_Configuration!B22:E41,4,FALSE)</f>
        <v>#N/A</v>
      </c>
      <c r="G31" s="349"/>
      <c r="H31" s="349"/>
      <c r="I31" s="349"/>
      <c r="J31" s="349"/>
      <c r="K31" s="349"/>
      <c r="L31" s="349"/>
      <c r="M31" s="349"/>
      <c r="N31" s="345" t="str">
        <f ca="1">OFFSET($AC12,0,SpracheB)</f>
        <v>den</v>
      </c>
      <c r="O31" s="345"/>
      <c r="P31" s="40"/>
      <c r="Q31" s="44">
        <v>1</v>
      </c>
      <c r="R31" s="40"/>
      <c r="W31" s="40"/>
      <c r="X31" s="40"/>
      <c r="AD31" s="82" t="s">
        <v>194</v>
      </c>
      <c r="AE31" s="83" t="s">
        <v>195</v>
      </c>
      <c r="AF31" s="83" t="s">
        <v>196</v>
      </c>
    </row>
    <row r="32" spans="1:32" s="41" customFormat="1" ht="39.9" customHeight="1">
      <c r="A32" s="40"/>
      <c r="B32" s="103"/>
      <c r="C32" s="103"/>
      <c r="D32" s="344" t="str">
        <f ca="1">OFFSET($AC31,0,SpracheB)</f>
        <v>1. Teil bestanden</v>
      </c>
      <c r="E32" s="344"/>
      <c r="F32" s="344"/>
      <c r="G32" s="344"/>
      <c r="H32" s="344"/>
      <c r="I32" s="344"/>
      <c r="J32" s="344"/>
      <c r="K32" s="344"/>
      <c r="L32" s="344"/>
      <c r="M32" s="344"/>
      <c r="N32" s="344"/>
      <c r="O32" s="344"/>
      <c r="P32" s="40"/>
      <c r="Q32" s="44">
        <v>1</v>
      </c>
      <c r="R32" s="40"/>
      <c r="W32" s="40"/>
      <c r="X32" s="40"/>
      <c r="AD32" s="77" t="s">
        <v>177</v>
      </c>
      <c r="AE32" s="81" t="s">
        <v>175</v>
      </c>
      <c r="AF32" s="81" t="s">
        <v>176</v>
      </c>
    </row>
    <row r="33" spans="1:32" s="41" customFormat="1" ht="0.9" customHeight="1">
      <c r="A33" s="40"/>
      <c r="C33" s="39"/>
      <c r="D33" s="87"/>
      <c r="E33" s="90"/>
      <c r="F33" s="95"/>
      <c r="G33" s="95"/>
      <c r="H33" s="95"/>
      <c r="I33" s="95"/>
      <c r="J33" s="95"/>
      <c r="K33" s="95"/>
      <c r="L33" s="96"/>
      <c r="M33" s="101"/>
      <c r="N33" s="101"/>
      <c r="P33" s="40"/>
      <c r="Q33" s="44">
        <v>1</v>
      </c>
      <c r="R33" s="40"/>
      <c r="W33" s="40"/>
      <c r="X33" s="40"/>
      <c r="AD33" s="72"/>
      <c r="AE33" s="72"/>
      <c r="AF33" s="72"/>
    </row>
    <row r="34" spans="1:32" s="1" customFormat="1" ht="72" customHeight="1">
      <c r="A34" s="2"/>
      <c r="D34" s="344" t="str">
        <f>VLOOKUP(AG13,Daten!B:C,2,FALSE)</f>
        <v>SIS Inter-Bronze Stiltest</v>
      </c>
      <c r="E34" s="344"/>
      <c r="F34" s="344"/>
      <c r="G34" s="344"/>
      <c r="H34" s="344"/>
      <c r="I34" s="344"/>
      <c r="J34" s="344"/>
      <c r="K34" s="344"/>
      <c r="L34" s="344"/>
      <c r="M34" s="344"/>
      <c r="N34" s="344"/>
      <c r="O34" s="344"/>
      <c r="P34" s="2"/>
      <c r="Q34" s="44">
        <v>1</v>
      </c>
      <c r="R34" s="2"/>
      <c r="T34" s="41"/>
      <c r="U34" s="41"/>
      <c r="V34" s="41"/>
      <c r="W34" s="2"/>
      <c r="X34" s="2"/>
      <c r="AE34" s="72"/>
      <c r="AF34" s="72"/>
    </row>
    <row r="35" spans="1:32" s="1" customFormat="1" ht="0.9" customHeight="1">
      <c r="A35" s="2"/>
      <c r="C35" s="39"/>
      <c r="D35" s="87"/>
      <c r="E35" s="90"/>
      <c r="F35" s="95"/>
      <c r="G35" s="95"/>
      <c r="H35" s="95"/>
      <c r="I35" s="95"/>
      <c r="J35" s="95"/>
      <c r="K35" s="95"/>
      <c r="L35" s="96"/>
      <c r="M35" s="343"/>
      <c r="N35" s="343"/>
      <c r="P35" s="2"/>
      <c r="Q35" s="44">
        <v>1</v>
      </c>
      <c r="R35" s="2"/>
      <c r="T35" s="41"/>
      <c r="U35" s="41"/>
      <c r="V35" s="41"/>
      <c r="W35" s="2"/>
      <c r="X35" s="2"/>
    </row>
    <row r="36" spans="1:32" s="1" customFormat="1" ht="0.9" customHeight="1">
      <c r="A36" s="2"/>
      <c r="C36" s="39"/>
      <c r="D36" s="87"/>
      <c r="E36" s="90"/>
      <c r="F36" s="95"/>
      <c r="G36" s="95"/>
      <c r="H36" s="95"/>
      <c r="I36" s="95"/>
      <c r="J36" s="95"/>
      <c r="K36" s="95"/>
      <c r="L36" s="96"/>
      <c r="M36" s="343"/>
      <c r="N36" s="343"/>
      <c r="P36" s="2"/>
      <c r="Q36" s="44">
        <v>1</v>
      </c>
      <c r="R36" s="2"/>
      <c r="T36" s="41"/>
      <c r="U36" s="41"/>
      <c r="V36" s="41"/>
      <c r="W36" s="2"/>
      <c r="X36" s="2"/>
      <c r="AE36" s="72"/>
      <c r="AF36" s="72"/>
    </row>
    <row r="37" spans="1:32" s="1" customFormat="1" ht="42" customHeight="1">
      <c r="A37" s="2"/>
      <c r="E37" s="100"/>
      <c r="N37" s="101"/>
      <c r="O37" s="41"/>
      <c r="P37" s="2"/>
      <c r="Q37" s="44">
        <v>1</v>
      </c>
      <c r="R37" s="2"/>
      <c r="T37" s="41"/>
      <c r="U37" s="41"/>
      <c r="V37" s="41"/>
      <c r="W37" s="2"/>
      <c r="X37" s="2"/>
      <c r="AE37" s="72"/>
      <c r="AF37" s="72"/>
    </row>
    <row r="38" spans="1:32" s="1" customFormat="1" ht="0.9" customHeight="1">
      <c r="A38" s="2"/>
      <c r="C38" s="39"/>
      <c r="D38" s="87"/>
      <c r="E38" s="90"/>
      <c r="F38" s="90"/>
      <c r="G38" s="90"/>
      <c r="H38" s="90"/>
      <c r="I38" s="90"/>
      <c r="J38" s="90"/>
      <c r="K38" s="90"/>
      <c r="L38" s="91"/>
      <c r="M38" s="92"/>
      <c r="N38" s="92"/>
      <c r="P38" s="2"/>
      <c r="Q38" s="44">
        <v>1</v>
      </c>
      <c r="R38" s="2"/>
      <c r="T38" s="41"/>
      <c r="U38" s="41"/>
      <c r="V38" s="41"/>
      <c r="W38" s="2"/>
      <c r="X38" s="2"/>
      <c r="AE38" s="72"/>
      <c r="AF38" s="72"/>
    </row>
    <row r="39" spans="1:32" s="17" customFormat="1" ht="0.9" customHeight="1">
      <c r="A39" s="16"/>
      <c r="C39" s="86"/>
      <c r="D39" s="87"/>
      <c r="E39" s="88"/>
      <c r="F39" s="88"/>
      <c r="G39" s="88"/>
      <c r="H39" s="88"/>
      <c r="I39" s="88"/>
      <c r="J39" s="88"/>
      <c r="K39" s="88"/>
      <c r="L39" s="89"/>
      <c r="M39" s="342"/>
      <c r="N39" s="342"/>
      <c r="P39" s="16"/>
      <c r="Q39" s="44">
        <v>1</v>
      </c>
      <c r="R39" s="25"/>
      <c r="T39" s="41"/>
      <c r="U39" s="41"/>
      <c r="V39" s="41"/>
      <c r="W39" s="16"/>
      <c r="X39" s="16"/>
      <c r="AE39" s="72"/>
      <c r="AF39" s="72"/>
    </row>
    <row r="40" spans="1:32" ht="39.9" customHeight="1">
      <c r="A40" s="25"/>
      <c r="D40" s="106" t="str">
        <f ca="1">OFFSET($AC14,0,SpracheB)</f>
        <v>am</v>
      </c>
      <c r="E40" s="346" t="str">
        <f>IF(Konfiguration_Configuration!$B$5="","",Konfiguration_Configuration!$B$5)</f>
        <v/>
      </c>
      <c r="F40" s="346"/>
      <c r="G40" s="105" t="str">
        <f ca="1">OFFSET($AC15,0,SpracheB)</f>
        <v>in</v>
      </c>
      <c r="H40" s="348" t="str">
        <f>IF(Konfiguration_Configuration!$B$4="","",Konfiguration_Configuration!$B$4)</f>
        <v/>
      </c>
      <c r="I40" s="348"/>
      <c r="J40" s="348"/>
      <c r="K40" s="348"/>
      <c r="L40" s="348"/>
      <c r="M40" s="348"/>
      <c r="N40" s="347"/>
      <c r="O40" s="347"/>
      <c r="P40" s="25"/>
      <c r="Q40" s="44">
        <v>1</v>
      </c>
      <c r="R40" s="25"/>
      <c r="T40" s="41"/>
      <c r="U40" s="41"/>
      <c r="V40" s="41"/>
      <c r="W40" s="25"/>
      <c r="X40" s="25"/>
      <c r="AE40" s="72"/>
      <c r="AF40" s="72"/>
    </row>
    <row r="41" spans="1:32" ht="9.9" customHeight="1">
      <c r="A41" s="25"/>
      <c r="F41" s="84"/>
      <c r="G41" s="84"/>
      <c r="H41" s="84"/>
      <c r="I41" s="84"/>
      <c r="J41" s="84"/>
      <c r="K41" s="84"/>
      <c r="L41" s="84"/>
      <c r="M41" s="84"/>
      <c r="N41" s="84"/>
      <c r="P41" s="25"/>
      <c r="Q41" s="44">
        <v>1</v>
      </c>
      <c r="R41" s="25"/>
      <c r="T41" s="41"/>
      <c r="U41" s="41"/>
      <c r="V41" s="41"/>
      <c r="W41" s="25"/>
      <c r="X41" s="25"/>
      <c r="AD41" s="74" t="s">
        <v>177</v>
      </c>
      <c r="AE41" s="78" t="s">
        <v>175</v>
      </c>
      <c r="AF41" s="78" t="s">
        <v>176</v>
      </c>
    </row>
    <row r="42" spans="1:32" ht="30" customHeight="1">
      <c r="A42" s="25"/>
      <c r="D42" s="339"/>
      <c r="E42" s="339"/>
      <c r="F42" s="339"/>
      <c r="G42" s="84"/>
      <c r="H42" s="84"/>
      <c r="I42" s="84"/>
      <c r="J42" s="84"/>
      <c r="K42" s="339"/>
      <c r="L42" s="339"/>
      <c r="M42" s="339"/>
      <c r="N42" s="339"/>
      <c r="O42" s="339"/>
      <c r="P42" s="25"/>
      <c r="Q42" s="44">
        <v>1</v>
      </c>
      <c r="R42" s="25"/>
      <c r="W42" s="25"/>
      <c r="X42" s="25"/>
      <c r="AD42" s="74" t="s">
        <v>23</v>
      </c>
      <c r="AE42" s="78" t="s">
        <v>184</v>
      </c>
      <c r="AF42" s="78" t="s">
        <v>185</v>
      </c>
    </row>
    <row r="43" spans="1:32" ht="0.9" customHeight="1">
      <c r="A43" s="25"/>
      <c r="D43" s="339"/>
      <c r="E43" s="339"/>
      <c r="F43" s="339"/>
      <c r="K43" s="339"/>
      <c r="L43" s="339"/>
      <c r="M43" s="339"/>
      <c r="N43" s="339"/>
      <c r="O43" s="339"/>
      <c r="P43" s="25"/>
      <c r="Q43" s="44">
        <v>1</v>
      </c>
      <c r="R43" s="25"/>
      <c r="W43" s="25"/>
      <c r="X43" s="25"/>
    </row>
    <row r="44" spans="1:32" ht="0.9" customHeight="1">
      <c r="A44" s="25"/>
      <c r="H44" s="47"/>
      <c r="P44" s="25"/>
      <c r="Q44" s="44">
        <v>1</v>
      </c>
      <c r="R44" s="25"/>
      <c r="W44" s="25"/>
      <c r="X44" s="25"/>
      <c r="AA44" s="97"/>
    </row>
    <row r="45" spans="1:32" ht="21.75" customHeight="1">
      <c r="A45" s="25"/>
      <c r="D45" s="340"/>
      <c r="E45" s="340"/>
      <c r="F45" s="340"/>
      <c r="K45" s="340"/>
      <c r="L45" s="340"/>
      <c r="M45" s="340"/>
      <c r="N45" s="340"/>
      <c r="O45" s="340"/>
      <c r="P45" s="25"/>
      <c r="Q45" s="44">
        <v>1</v>
      </c>
      <c r="R45" s="25"/>
      <c r="W45" s="25"/>
      <c r="X45" s="25"/>
    </row>
    <row r="46" spans="1:32" ht="45" customHeight="1">
      <c r="A46" s="25"/>
      <c r="D46" s="337" t="str">
        <f ca="1">OFFSET($AC42,0,SpracheB)</f>
        <v>SchiedsrichterIn</v>
      </c>
      <c r="E46" s="337"/>
      <c r="F46" s="337"/>
      <c r="G46" s="337"/>
      <c r="H46" s="337"/>
      <c r="I46" s="54"/>
      <c r="J46" s="338"/>
      <c r="K46" s="338"/>
      <c r="L46" s="338"/>
      <c r="M46" s="338"/>
      <c r="N46" s="338"/>
      <c r="O46" s="338"/>
      <c r="P46" s="25"/>
      <c r="Q46" s="44">
        <v>1</v>
      </c>
      <c r="R46" s="25"/>
      <c r="W46" s="25"/>
      <c r="X46" s="25"/>
    </row>
    <row r="47" spans="1:32" ht="30" customHeight="1">
      <c r="A47" s="25"/>
      <c r="P47" s="25"/>
      <c r="Q47" s="44">
        <v>1</v>
      </c>
      <c r="R47" s="25"/>
      <c r="W47" s="25"/>
      <c r="X47" s="25"/>
    </row>
    <row r="48" spans="1:32" ht="54.9" customHeight="1">
      <c r="A48" s="25"/>
      <c r="C48" s="98"/>
      <c r="D48" s="336" t="str">
        <f>IF(Konfiguration_Configuration!$B$12="","",Konfiguration_Configuration!$B$12)</f>
        <v/>
      </c>
      <c r="E48" s="336"/>
      <c r="F48" s="336"/>
      <c r="G48" s="336"/>
      <c r="H48" s="336"/>
      <c r="I48" s="108"/>
      <c r="J48" s="336" t="str">
        <f>IF(Konfiguration_Configuration!$B$15="","",Konfiguration_Configuration!$B$15)</f>
        <v/>
      </c>
      <c r="K48" s="336"/>
      <c r="L48" s="336"/>
      <c r="M48" s="336"/>
      <c r="N48" s="336"/>
      <c r="O48" s="336"/>
      <c r="P48" s="25"/>
      <c r="Q48" s="44">
        <v>1</v>
      </c>
      <c r="R48" s="25"/>
      <c r="W48" s="25"/>
      <c r="X48" s="25"/>
    </row>
    <row r="49" spans="1:24" ht="0.9" customHeight="1">
      <c r="A49" s="25"/>
      <c r="P49" s="25"/>
      <c r="R49" s="25"/>
      <c r="W49" s="25"/>
      <c r="X49" s="25"/>
    </row>
    <row r="50" spans="1:24">
      <c r="A50" s="25"/>
      <c r="B50" s="25"/>
      <c r="C50" s="25"/>
      <c r="D50" s="25"/>
      <c r="E50" s="25"/>
      <c r="F50" s="25"/>
      <c r="G50" s="25"/>
      <c r="H50" s="25"/>
      <c r="I50" s="25"/>
      <c r="J50" s="25"/>
      <c r="K50" s="25"/>
      <c r="L50" s="25"/>
      <c r="M50" s="25"/>
      <c r="N50" s="25"/>
      <c r="O50" s="25"/>
      <c r="P50" s="25"/>
      <c r="Q50" s="25"/>
      <c r="R50" s="25"/>
      <c r="W50" s="25"/>
      <c r="X50" s="25"/>
    </row>
    <row r="51" spans="1:24">
      <c r="A51" s="25"/>
      <c r="B51" s="25"/>
      <c r="C51" s="25"/>
      <c r="D51" s="25"/>
      <c r="E51" s="25"/>
      <c r="F51" s="25"/>
      <c r="G51" s="25"/>
      <c r="H51" s="25"/>
      <c r="I51" s="25"/>
      <c r="J51" s="25"/>
      <c r="K51" s="25"/>
      <c r="L51" s="25"/>
      <c r="M51" s="25"/>
      <c r="N51" s="25"/>
      <c r="O51" s="25"/>
      <c r="P51" s="25"/>
      <c r="Q51" s="25"/>
      <c r="R51" s="25"/>
      <c r="W51" s="25"/>
      <c r="X51" s="25"/>
    </row>
  </sheetData>
  <sheetProtection algorithmName="SHA-512" hashValue="gsytN5RfREfJNLLYQk2L3E4DDeMhK+2uDaYMlgkS482GQQ6GHVga72k39zu3q2D2EQlowLLeBRzH8ZtFdj6bKg==" saltValue="1SZNajHURbVETfm/F6dLPQ==" spinCount="100000" sheet="1" objects="1" scenarios="1"/>
  <protectedRanges>
    <protectedRange sqref="F31" name="Bereich3"/>
    <protectedRange sqref="D34" name="Bereich1"/>
    <protectedRange sqref="D26:E26" name="Bereich2"/>
  </protectedRanges>
  <mergeCells count="25">
    <mergeCell ref="D45:F45"/>
    <mergeCell ref="K45:O45"/>
    <mergeCell ref="D46:H46"/>
    <mergeCell ref="J46:O46"/>
    <mergeCell ref="D48:H48"/>
    <mergeCell ref="J48:O48"/>
    <mergeCell ref="D42:F43"/>
    <mergeCell ref="K42:O43"/>
    <mergeCell ref="M30:N30"/>
    <mergeCell ref="D31:E31"/>
    <mergeCell ref="F31:M31"/>
    <mergeCell ref="N31:O31"/>
    <mergeCell ref="D34:O34"/>
    <mergeCell ref="M35:N35"/>
    <mergeCell ref="D32:O32"/>
    <mergeCell ref="M36:N36"/>
    <mergeCell ref="M39:N39"/>
    <mergeCell ref="E40:F40"/>
    <mergeCell ref="H40:M40"/>
    <mergeCell ref="N40:O40"/>
    <mergeCell ref="C2:G2"/>
    <mergeCell ref="B10:O10"/>
    <mergeCell ref="B14:O18"/>
    <mergeCell ref="F24:L24"/>
    <mergeCell ref="D26:N26"/>
  </mergeCells>
  <conditionalFormatting sqref="D26">
    <cfRule type="expression" dxfId="4" priority="6" stopIfTrue="1">
      <formula>(OR(D26="Name",D26=""))</formula>
    </cfRule>
  </conditionalFormatting>
  <conditionalFormatting sqref="D32:O32">
    <cfRule type="expression" dxfId="3" priority="2" stopIfTrue="1">
      <formula>(OR(D32="",D32="Testnamen"))</formula>
    </cfRule>
  </conditionalFormatting>
  <conditionalFormatting sqref="D34:O34">
    <cfRule type="expression" dxfId="2" priority="5" stopIfTrue="1">
      <formula>(OR(D34="",D34="Testnamen"))</formula>
    </cfRule>
  </conditionalFormatting>
  <conditionalFormatting sqref="F31">
    <cfRule type="expression" dxfId="1" priority="4" stopIfTrue="1">
      <formula>(OR(F31="",F31="Klub"))</formula>
    </cfRule>
  </conditionalFormatting>
  <conditionalFormatting sqref="R46">
    <cfRule type="expression" dxfId="0" priority="3" stopIfTrue="1">
      <formula>(Höhe_TF1&lt;=15)</formula>
    </cfRule>
  </conditionalFormatting>
  <dataValidations count="1">
    <dataValidation type="list" allowBlank="1" showInputMessage="1" showErrorMessage="1" sqref="D26" xr:uid="{BB3A4F9E-B238-4E49-B46D-1070D66FE4BF}">
      <formula1>L_Teilnehmer</formula1>
    </dataValidation>
  </dataValidations>
  <pageMargins left="0.11811023622047245" right="0.19685039370078741" top="0.43307086614173229" bottom="0.31496062992125984" header="0.31496062992125984" footer="0.31496062992125984"/>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4385" r:id="rId4" name="Spinner 1">
              <controlPr defaultSize="0" autoPict="0" macro="[0]!Höhe_Textfeld_2">
                <anchor moveWithCells="1" sizeWithCells="1">
                  <from>
                    <xdr:col>17</xdr:col>
                    <xdr:colOff>45720</xdr:colOff>
                    <xdr:row>43</xdr:row>
                    <xdr:rowOff>0</xdr:rowOff>
                  </from>
                  <to>
                    <xdr:col>17</xdr:col>
                    <xdr:colOff>236220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14133-6D1A-4E1D-B3DC-BE5C266C68E7}">
          <x14:formula1>
            <xm:f>Konfiguration_Configuration!$L$1:$N$1</xm:f>
          </x14:formula1>
          <xm:sqref>AA1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009">
    <tabColor indexed="56"/>
    <outlinePr summaryBelow="0" summaryRight="0"/>
  </sheetPr>
  <dimension ref="A1:BU207"/>
  <sheetViews>
    <sheetView showOutlineSymbols="0" view="pageBreakPreview" zoomScale="60" zoomScaleNormal="80" workbookViewId="0">
      <pane xSplit="3" topLeftCell="D1" activePane="topRight" state="frozen"/>
      <selection activeCell="AA1" sqref="AA1"/>
      <selection pane="topRight" activeCell="AA1" sqref="AA1"/>
    </sheetView>
  </sheetViews>
  <sheetFormatPr baseColWidth="10" defaultColWidth="11.44140625" defaultRowHeight="15" outlineLevelRow="1" outlineLevelCol="1"/>
  <cols>
    <col min="1" max="1" width="37.44140625" style="129" customWidth="1"/>
    <col min="2" max="3" width="8.6640625" style="129" customWidth="1"/>
    <col min="4" max="4" width="30.6640625" style="129" customWidth="1"/>
    <col min="5" max="6" width="10.6640625" style="129" customWidth="1"/>
    <col min="7" max="7" width="30.6640625" style="129" customWidth="1"/>
    <col min="8" max="9" width="10.6640625" style="129" customWidth="1"/>
    <col min="10" max="10" width="30.6640625" style="129" customWidth="1"/>
    <col min="11" max="12" width="10.6640625" style="129" customWidth="1"/>
    <col min="13" max="13" width="30.6640625" style="129" customWidth="1"/>
    <col min="14" max="15" width="10.6640625" style="129" customWidth="1"/>
    <col min="16" max="16" width="30.6640625" style="129" customWidth="1"/>
    <col min="17" max="18" width="10.6640625" style="129" customWidth="1"/>
    <col min="19" max="20" width="8.6640625" style="129" customWidth="1"/>
    <col min="21" max="21" width="30.6640625" style="129" customWidth="1"/>
    <col min="22" max="23" width="10.6640625" style="129" customWidth="1"/>
    <col min="24" max="24" width="30.6640625" style="129" customWidth="1"/>
    <col min="25" max="26" width="10.6640625" style="129" customWidth="1"/>
    <col min="27" max="27" width="30.6640625" style="129" customWidth="1"/>
    <col min="28" max="29" width="10.6640625" style="129" customWidth="1"/>
    <col min="30" max="30" width="30.6640625" style="129" customWidth="1"/>
    <col min="31" max="32" width="10.6640625" style="129" customWidth="1"/>
    <col min="33" max="33" width="30.6640625" style="129" customWidth="1"/>
    <col min="34" max="35" width="10.6640625" style="129" customWidth="1"/>
    <col min="36" max="37" width="8.6640625" style="129" customWidth="1" outlineLevel="1"/>
    <col min="38" max="38" width="30.6640625" style="129" customWidth="1" outlineLevel="1"/>
    <col min="39" max="40" width="10.6640625" style="129" customWidth="1" outlineLevel="1"/>
    <col min="41" max="41" width="30.6640625" style="129" customWidth="1" outlineLevel="1"/>
    <col min="42" max="43" width="10.6640625" style="129" customWidth="1" outlineLevel="1"/>
    <col min="44" max="44" width="30.6640625" style="129" customWidth="1" outlineLevel="1"/>
    <col min="45" max="46" width="10.6640625" style="129" customWidth="1" outlineLevel="1"/>
    <col min="47" max="47" width="30.6640625" style="129" customWidth="1" outlineLevel="1"/>
    <col min="48" max="49" width="10.6640625" style="129" customWidth="1" outlineLevel="1"/>
    <col min="50" max="50" width="30.6640625" style="129" customWidth="1" outlineLevel="1"/>
    <col min="51" max="52" width="10.6640625" style="129" customWidth="1" outlineLevel="1"/>
    <col min="53" max="54" width="8.6640625" style="129" customWidth="1" outlineLevel="1"/>
    <col min="55" max="55" width="30.6640625" style="129" customWidth="1" outlineLevel="1"/>
    <col min="56" max="57" width="10.6640625" style="129" customWidth="1" outlineLevel="1"/>
    <col min="58" max="58" width="30.6640625" style="129" customWidth="1" outlineLevel="1"/>
    <col min="59" max="60" width="10.6640625" style="129" customWidth="1" outlineLevel="1"/>
    <col min="61" max="61" width="30.6640625" style="129" customWidth="1" outlineLevel="1"/>
    <col min="62" max="63" width="10.6640625" style="129" customWidth="1" outlineLevel="1"/>
    <col min="64" max="64" width="30.6640625" style="129" customWidth="1" outlineLevel="1"/>
    <col min="65" max="66" width="10.6640625" style="129" customWidth="1" outlineLevel="1"/>
    <col min="67" max="67" width="30.6640625" style="129" customWidth="1" outlineLevel="1"/>
    <col min="68" max="69" width="10.6640625" style="129" customWidth="1" outlineLevel="1"/>
    <col min="70" max="70" width="3.33203125" style="129" customWidth="1"/>
    <col min="71" max="72" width="17.88671875" style="54" customWidth="1" outlineLevel="1"/>
    <col min="73" max="74" width="17.88671875" style="129" customWidth="1"/>
    <col min="75" max="80" width="6.6640625" style="129" customWidth="1"/>
    <col min="81" max="81" width="4.5546875" style="129" customWidth="1"/>
    <col min="82" max="82" width="5" style="129" customWidth="1"/>
    <col min="83" max="84" width="10.6640625" style="129" customWidth="1"/>
    <col min="85" max="16384" width="11.44140625" style="129"/>
  </cols>
  <sheetData>
    <row r="1" spans="1:73" s="17" customFormat="1" ht="24.9" customHeight="1">
      <c r="A1" s="193" t="str">
        <f ca="1">CONCATENATE("A1:",Konfiguration_Configuration!N42,"159")</f>
        <v>A1:159</v>
      </c>
      <c r="B1" s="121"/>
      <c r="C1" s="121"/>
      <c r="D1" s="121"/>
      <c r="E1" s="122"/>
      <c r="F1" s="122"/>
      <c r="K1" s="123"/>
      <c r="L1" s="123"/>
      <c r="S1" s="121"/>
      <c r="T1" s="121"/>
      <c r="AJ1" s="121"/>
      <c r="AK1" s="121"/>
      <c r="BA1" s="121"/>
      <c r="BB1" s="121"/>
      <c r="BS1" s="26"/>
      <c r="BT1" s="26"/>
    </row>
    <row r="2" spans="1:73" s="18" customFormat="1" ht="15.75" customHeight="1">
      <c r="A2" s="114"/>
      <c r="B2" s="114"/>
      <c r="C2" s="114"/>
      <c r="D2" s="125" t="s">
        <v>197</v>
      </c>
      <c r="E2" s="125"/>
      <c r="F2" s="125"/>
      <c r="S2" s="114"/>
      <c r="T2" s="114"/>
      <c r="AJ2" s="114"/>
      <c r="AK2" s="114"/>
      <c r="BA2" s="114"/>
      <c r="BB2" s="114"/>
      <c r="BS2" s="55"/>
      <c r="BT2" s="55"/>
    </row>
    <row r="3" spans="1:73" ht="15.6">
      <c r="A3" s="126" t="str">
        <f>Konfiguration_Configuration!E$3</f>
        <v>Testname</v>
      </c>
      <c r="B3" s="127" t="str">
        <f>IF(Konfiguration_Configuration!$B$3="","",Konfiguration_Configuration!$B$3)</f>
        <v>SIS Inter-Bronze Stiltest</v>
      </c>
      <c r="C3" s="127"/>
      <c r="D3" s="127"/>
      <c r="E3" s="126"/>
      <c r="F3" s="126"/>
      <c r="G3" s="252" t="str">
        <f>Konfiguration_Configuration!J$12</f>
        <v>SchiedsrichterIn</v>
      </c>
      <c r="H3" s="178" t="str">
        <f>IF(Konfiguration_Configuration!$B$12="","",Konfiguration_Configuration!$B$12)&amp;IF(Konfiguration_Configuration!$E$12="","",", "&amp;Konfiguration_Configuration!$E$12)&amp;IF(Konfiguration_Configuration!$H$12="","",CONCATENATE(" (",Konfiguration_Configuration!$H$11," ",Konfiguration_Configuration!$H$12&amp;")"))</f>
        <v/>
      </c>
      <c r="I3" s="178"/>
      <c r="J3" s="178"/>
      <c r="S3" s="127" t="str">
        <f>IF(Konfiguration_Configuration!$B$3="","",Konfiguration_Configuration!$B$3)</f>
        <v>SIS Inter-Bronze Stiltest</v>
      </c>
      <c r="T3" s="127"/>
      <c r="U3" s="147"/>
      <c r="V3" s="147"/>
      <c r="X3" s="252" t="str">
        <f>Konfiguration_Configuration!$J$12</f>
        <v>SchiedsrichterIn</v>
      </c>
      <c r="Y3" s="178" t="str">
        <f>H3</f>
        <v/>
      </c>
      <c r="Z3" s="178"/>
      <c r="AA3" s="178"/>
      <c r="AJ3" s="127" t="str">
        <f>IF(Konfiguration_Configuration!$B$3="","",Konfiguration_Configuration!$B$3)</f>
        <v>SIS Inter-Bronze Stiltest</v>
      </c>
      <c r="AK3" s="127"/>
      <c r="AL3" s="147"/>
      <c r="AM3" s="147"/>
      <c r="AO3" s="252" t="str">
        <f>Konfiguration_Configuration!$J$12</f>
        <v>SchiedsrichterIn</v>
      </c>
      <c r="AP3" s="178" t="str">
        <f>H3</f>
        <v/>
      </c>
      <c r="AQ3" s="178"/>
      <c r="AR3" s="178"/>
      <c r="BA3" s="127" t="str">
        <f>IF(Konfiguration_Configuration!$B$3="","",Konfiguration_Configuration!$B$3)</f>
        <v>SIS Inter-Bronze Stiltest</v>
      </c>
      <c r="BB3" s="127"/>
      <c r="BC3" s="147"/>
      <c r="BD3" s="147"/>
      <c r="BF3" s="252" t="str">
        <f>Konfiguration_Configuration!$J$12</f>
        <v>SchiedsrichterIn</v>
      </c>
      <c r="BG3" s="178" t="str">
        <f>H3</f>
        <v/>
      </c>
      <c r="BH3" s="178"/>
      <c r="BI3"/>
    </row>
    <row r="4" spans="1:73" ht="15" customHeight="1">
      <c r="A4" s="126" t="str">
        <f>Konfiguration_Configuration!E$4</f>
        <v>Austragungsort</v>
      </c>
      <c r="B4" s="127" t="str">
        <f>IF(Konfiguration_Configuration!$B$4="","",Konfiguration_Configuration!$B$4)</f>
        <v/>
      </c>
      <c r="C4" s="127"/>
      <c r="D4" s="127"/>
      <c r="E4" s="126"/>
      <c r="F4" s="126"/>
      <c r="G4" s="128" t="str">
        <f>Konfiguration_Configuration!J$13</f>
        <v>PreisrichterIn 2</v>
      </c>
      <c r="H4" s="178" t="str">
        <f>IF(Konfiguration_Configuration!$B$13="","",Konfiguration_Configuration!$B$13)&amp;IF(Konfiguration_Configuration!$E$13="","",", "&amp;Konfiguration_Configuration!$E$13)&amp;IF(Konfiguration_Configuration!$H$13="","",CONCATENATE(" (",Konfiguration_Configuration!$H$11," ",Konfiguration_Configuration!$H$13&amp;")"))</f>
        <v/>
      </c>
      <c r="I4" s="178"/>
      <c r="J4" s="178"/>
      <c r="S4" s="127" t="str">
        <f>IF(Konfiguration_Configuration!$B$4="","",Konfiguration_Configuration!$B$4)</f>
        <v/>
      </c>
      <c r="T4" s="127"/>
      <c r="U4" s="147"/>
      <c r="V4" s="147"/>
      <c r="X4" s="128" t="str">
        <f>Konfiguration_Configuration!$J$13</f>
        <v>PreisrichterIn 2</v>
      </c>
      <c r="Y4" s="178" t="str">
        <f t="shared" ref="Y4:Y5" si="0">H4</f>
        <v/>
      </c>
      <c r="Z4" s="178"/>
      <c r="AA4" s="178"/>
      <c r="AJ4" s="127" t="str">
        <f>IF(Konfiguration_Configuration!$B$4="","",Konfiguration_Configuration!$B$4)</f>
        <v/>
      </c>
      <c r="AK4" s="127"/>
      <c r="AL4" s="147"/>
      <c r="AM4" s="147"/>
      <c r="AO4" s="128" t="str">
        <f>Konfiguration_Configuration!$J$13</f>
        <v>PreisrichterIn 2</v>
      </c>
      <c r="AP4" s="178" t="str">
        <f t="shared" ref="AP4:AP6" si="1">H4</f>
        <v/>
      </c>
      <c r="AQ4" s="178"/>
      <c r="AR4" s="178"/>
      <c r="BA4" s="127" t="str">
        <f>IF(Konfiguration_Configuration!$B$4="","",Konfiguration_Configuration!$B$4)</f>
        <v/>
      </c>
      <c r="BB4" s="127"/>
      <c r="BC4" s="147"/>
      <c r="BD4" s="147"/>
      <c r="BF4" s="128" t="str">
        <f>Konfiguration_Configuration!$J$13</f>
        <v>PreisrichterIn 2</v>
      </c>
      <c r="BG4" s="178" t="str">
        <f t="shared" ref="BG4:BG6" si="2">H4</f>
        <v/>
      </c>
      <c r="BH4" s="178"/>
      <c r="BI4"/>
      <c r="BS4" s="56"/>
      <c r="BT4" s="56"/>
      <c r="BU4" s="130"/>
    </row>
    <row r="5" spans="1:73" ht="15.6">
      <c r="A5" s="126" t="str">
        <f>Konfiguration_Configuration!E$5</f>
        <v>Datum</v>
      </c>
      <c r="B5" s="364" t="str">
        <f>IF(Konfiguration_Configuration!$B$5="","",Konfiguration_Configuration!$B$5)</f>
        <v/>
      </c>
      <c r="C5" s="357"/>
      <c r="D5" s="127"/>
      <c r="E5" s="126"/>
      <c r="F5" s="126"/>
      <c r="G5" s="128" t="str">
        <f>Konfiguration_Configuration!J$14</f>
        <v>PreisrichterIn 3</v>
      </c>
      <c r="H5" s="178" t="str">
        <f>IF(Konfiguration_Configuration!$B$14="","",Konfiguration_Configuration!$B$14)&amp;IF(Konfiguration_Configuration!$E$14="","",", "&amp;Konfiguration_Configuration!$E$14)&amp;IF(Konfiguration_Configuration!$H$14="","",CONCATENATE(" (",Konfiguration_Configuration!$H$11," ",Konfiguration_Configuration!$H$14&amp;")"))</f>
        <v/>
      </c>
      <c r="I5" s="178"/>
      <c r="J5" s="178"/>
      <c r="S5" s="356" t="str">
        <f>IF(Konfiguration_Configuration!$B$5="","",Konfiguration_Configuration!$B$5)</f>
        <v/>
      </c>
      <c r="T5" s="357"/>
      <c r="U5" s="147"/>
      <c r="V5" s="147"/>
      <c r="X5" s="128" t="str">
        <f>Konfiguration_Configuration!$J$14</f>
        <v>PreisrichterIn 3</v>
      </c>
      <c r="Y5" s="178" t="str">
        <f t="shared" si="0"/>
        <v/>
      </c>
      <c r="Z5" s="178"/>
      <c r="AA5" s="178"/>
      <c r="AJ5" s="356" t="str">
        <f>IF(Konfiguration_Configuration!$B$5="","",Konfiguration_Configuration!$B$5)</f>
        <v/>
      </c>
      <c r="AK5" s="357"/>
      <c r="AL5" s="147"/>
      <c r="AM5" s="147"/>
      <c r="AO5" s="128" t="str">
        <f>Konfiguration_Configuration!$J$14</f>
        <v>PreisrichterIn 3</v>
      </c>
      <c r="AP5" s="178" t="str">
        <f t="shared" si="1"/>
        <v/>
      </c>
      <c r="AQ5" s="178"/>
      <c r="AR5" s="178"/>
      <c r="BA5" s="356" t="str">
        <f>IF(Konfiguration_Configuration!$B$5="","",Konfiguration_Configuration!$B$5)</f>
        <v/>
      </c>
      <c r="BB5" s="357"/>
      <c r="BC5" s="147"/>
      <c r="BD5" s="147"/>
      <c r="BF5" s="128" t="str">
        <f>Konfiguration_Configuration!$J$14</f>
        <v>PreisrichterIn 3</v>
      </c>
      <c r="BG5" s="178" t="str">
        <f t="shared" si="2"/>
        <v/>
      </c>
      <c r="BH5" s="178"/>
      <c r="BI5"/>
      <c r="BT5" s="56"/>
      <c r="BU5" s="130"/>
    </row>
    <row r="6" spans="1:73" ht="15.6">
      <c r="A6" s="126" t="str">
        <f>Konfiguration_Configuration!E$6</f>
        <v>Testklasse</v>
      </c>
      <c r="B6" s="127">
        <f>IF(Konfiguration_Configuration!$B$6="","",Konfiguration_Configuration!$B$6)</f>
        <v>6</v>
      </c>
      <c r="C6" s="127"/>
      <c r="D6" s="127"/>
      <c r="E6" s="126"/>
      <c r="F6" s="126"/>
      <c r="G6" s="128" t="str">
        <f>Konfiguration_Configuration!J$15</f>
        <v>Verantwortliche/r der Tests</v>
      </c>
      <c r="H6" s="178" t="str">
        <f>IF(Konfiguration_Configuration!$B$15="","",Konfiguration_Configuration!$B$15)&amp;IF(Konfiguration_Configuration!$E$15="","",", "&amp;Konfiguration_Configuration!$E$15)&amp;IF(Konfiguration_Configuration!$H$15="","",CONCATENATE(" (",Konfiguration_Configuration!$H$11," ",Konfiguration_Configuration!$H$15&amp;")"))</f>
        <v/>
      </c>
      <c r="I6" s="178"/>
      <c r="J6" s="178"/>
      <c r="S6" s="127">
        <f>IF(Konfiguration_Configuration!$B$6="","",Konfiguration_Configuration!$B$6)</f>
        <v>6</v>
      </c>
      <c r="T6" s="127"/>
      <c r="U6" s="147"/>
      <c r="V6" s="147"/>
      <c r="X6" s="128" t="str">
        <f>Konfiguration_Configuration!$J$15</f>
        <v>Verantwortliche/r der Tests</v>
      </c>
      <c r="Y6" s="178" t="str">
        <f t="shared" ref="Y6" si="3">H6</f>
        <v/>
      </c>
      <c r="Z6" s="178"/>
      <c r="AA6" s="178"/>
      <c r="AJ6" s="127">
        <f>IF(Konfiguration_Configuration!$B$6="","",Konfiguration_Configuration!$B$6)</f>
        <v>6</v>
      </c>
      <c r="AK6" s="127"/>
      <c r="AL6" s="147"/>
      <c r="AM6" s="147"/>
      <c r="AO6" s="128" t="str">
        <f>Konfiguration_Configuration!$J$15</f>
        <v>Verantwortliche/r der Tests</v>
      </c>
      <c r="AP6" s="178" t="str">
        <f t="shared" si="1"/>
        <v/>
      </c>
      <c r="AQ6" s="178"/>
      <c r="AR6" s="178"/>
      <c r="BA6" s="127">
        <f>IF(Konfiguration_Configuration!$B$6="","",Konfiguration_Configuration!$B$6)</f>
        <v>6</v>
      </c>
      <c r="BB6" s="127"/>
      <c r="BC6" s="147"/>
      <c r="BD6" s="147"/>
      <c r="BF6" s="128" t="str">
        <f>Konfiguration_Configuration!$J$15</f>
        <v>Verantwortliche/r der Tests</v>
      </c>
      <c r="BG6" s="178" t="str">
        <f t="shared" si="2"/>
        <v/>
      </c>
      <c r="BH6" s="178"/>
      <c r="BI6"/>
      <c r="BT6" s="56"/>
      <c r="BU6" s="130"/>
    </row>
    <row r="7" spans="1:73" ht="15" customHeight="1" collapsed="1">
      <c r="A7" s="124"/>
      <c r="B7" s="124"/>
      <c r="C7" s="124"/>
      <c r="D7" s="126"/>
      <c r="E7" s="126"/>
      <c r="F7" s="126"/>
      <c r="G7" s="128"/>
      <c r="H7" s="128"/>
      <c r="I7" s="128"/>
      <c r="Q7" s="157"/>
      <c r="R7" s="157"/>
      <c r="S7" s="124"/>
      <c r="T7" s="124"/>
      <c r="AH7" s="157"/>
      <c r="AI7" s="157"/>
      <c r="AJ7" s="124"/>
      <c r="AK7" s="124"/>
      <c r="AY7" s="171"/>
      <c r="BA7" s="124"/>
      <c r="BB7" s="124"/>
      <c r="BP7" s="157"/>
      <c r="BQ7" s="157"/>
      <c r="BT7" s="56"/>
      <c r="BU7" s="130"/>
    </row>
    <row r="8" spans="1:73" s="54" customFormat="1" ht="15" hidden="1" customHeight="1" outlineLevel="1">
      <c r="A8" s="57" t="s">
        <v>198</v>
      </c>
      <c r="B8" s="57"/>
      <c r="C8" s="57" t="s">
        <v>199</v>
      </c>
      <c r="D8" s="57" t="s">
        <v>200</v>
      </c>
      <c r="E8" s="57"/>
      <c r="F8" s="57"/>
      <c r="G8" s="57" t="s">
        <v>201</v>
      </c>
      <c r="H8" s="57"/>
      <c r="I8" s="57"/>
      <c r="J8" s="57" t="s">
        <v>202</v>
      </c>
      <c r="K8" s="57"/>
      <c r="L8" s="57"/>
      <c r="M8" s="57" t="s">
        <v>203</v>
      </c>
      <c r="N8" s="57"/>
      <c r="O8" s="57"/>
      <c r="P8" s="57" t="s">
        <v>204</v>
      </c>
      <c r="Q8" s="57"/>
      <c r="R8" s="57"/>
      <c r="S8" s="57"/>
      <c r="T8" s="57"/>
      <c r="U8" s="57" t="s">
        <v>205</v>
      </c>
      <c r="V8" s="57"/>
      <c r="W8" s="57"/>
      <c r="X8" s="57" t="s">
        <v>206</v>
      </c>
      <c r="Y8" s="57"/>
      <c r="Z8" s="57"/>
      <c r="AA8" s="57" t="s">
        <v>207</v>
      </c>
      <c r="AB8" s="57"/>
      <c r="AC8" s="57"/>
      <c r="AD8" s="57" t="s">
        <v>208</v>
      </c>
      <c r="AE8" s="57"/>
      <c r="AF8" s="57"/>
      <c r="AG8" s="57" t="s">
        <v>209</v>
      </c>
      <c r="AH8" s="57"/>
      <c r="AI8" s="57"/>
      <c r="AL8" s="57" t="s">
        <v>210</v>
      </c>
      <c r="AM8" s="57"/>
      <c r="AN8" s="57"/>
      <c r="AO8" s="57" t="s">
        <v>211</v>
      </c>
      <c r="AP8" s="57"/>
      <c r="AQ8" s="57"/>
      <c r="AR8" s="57" t="s">
        <v>212</v>
      </c>
      <c r="AS8" s="57"/>
      <c r="AT8" s="57"/>
      <c r="AU8" s="57" t="s">
        <v>213</v>
      </c>
      <c r="AV8" s="57"/>
      <c r="AW8" s="57"/>
      <c r="AX8" s="57" t="s">
        <v>214</v>
      </c>
      <c r="AY8" s="57"/>
      <c r="AZ8" s="57"/>
      <c r="BC8" s="57" t="s">
        <v>215</v>
      </c>
      <c r="BD8" s="57"/>
      <c r="BE8" s="57"/>
      <c r="BF8" s="57" t="s">
        <v>216</v>
      </c>
      <c r="BG8" s="57"/>
      <c r="BH8" s="57"/>
      <c r="BI8" s="57" t="s">
        <v>217</v>
      </c>
      <c r="BJ8" s="57"/>
      <c r="BK8" s="57"/>
      <c r="BL8" s="57" t="s">
        <v>218</v>
      </c>
      <c r="BM8" s="57"/>
      <c r="BN8" s="57"/>
      <c r="BO8" s="57" t="s">
        <v>219</v>
      </c>
      <c r="BP8" s="85"/>
      <c r="BQ8" s="85"/>
    </row>
    <row r="9" spans="1:73" s="54" customFormat="1" ht="15" hidden="1" customHeight="1" outlineLevel="1">
      <c r="A9" s="57" t="s">
        <v>220</v>
      </c>
      <c r="B9" s="70"/>
      <c r="C9" s="182" t="s">
        <v>221</v>
      </c>
      <c r="D9" s="182" t="s">
        <v>222</v>
      </c>
      <c r="E9" s="70"/>
      <c r="F9" s="70"/>
      <c r="G9" s="182" t="s">
        <v>223</v>
      </c>
      <c r="H9" s="70"/>
      <c r="I9" s="70"/>
      <c r="J9" s="182" t="s">
        <v>224</v>
      </c>
      <c r="K9" s="70"/>
      <c r="L9" s="70"/>
      <c r="M9" s="182" t="s">
        <v>225</v>
      </c>
      <c r="N9" s="70"/>
      <c r="O9" s="70"/>
      <c r="P9" s="182" t="s">
        <v>226</v>
      </c>
      <c r="Q9" s="70"/>
      <c r="R9" s="70"/>
      <c r="U9" s="182" t="s">
        <v>227</v>
      </c>
      <c r="V9" s="70"/>
      <c r="W9" s="70"/>
      <c r="X9" s="182" t="s">
        <v>228</v>
      </c>
      <c r="Y9" s="70"/>
      <c r="Z9" s="70"/>
      <c r="AA9" s="182" t="s">
        <v>229</v>
      </c>
      <c r="AB9" s="70"/>
      <c r="AC9" s="70"/>
      <c r="AD9" s="182" t="s">
        <v>230</v>
      </c>
      <c r="AE9" s="70"/>
      <c r="AF9" s="70"/>
      <c r="AG9" s="182" t="s">
        <v>231</v>
      </c>
      <c r="AH9" s="70"/>
      <c r="AI9" s="70"/>
      <c r="AL9" s="182" t="s">
        <v>232</v>
      </c>
      <c r="AM9" s="70"/>
      <c r="AN9" s="70"/>
      <c r="AO9" s="182" t="s">
        <v>233</v>
      </c>
      <c r="AP9" s="70"/>
      <c r="AQ9" s="70"/>
      <c r="AR9" s="182" t="s">
        <v>234</v>
      </c>
      <c r="AS9" s="70"/>
      <c r="AT9" s="70"/>
      <c r="AU9" s="182" t="s">
        <v>235</v>
      </c>
      <c r="AV9" s="70"/>
      <c r="AW9" s="70"/>
      <c r="AX9" s="182" t="s">
        <v>236</v>
      </c>
      <c r="AY9" s="70"/>
      <c r="AZ9" s="70"/>
      <c r="BC9" s="182" t="s">
        <v>237</v>
      </c>
      <c r="BD9" s="70"/>
      <c r="BE9" s="70"/>
      <c r="BF9" s="182" t="s">
        <v>238</v>
      </c>
      <c r="BG9" s="70"/>
      <c r="BH9" s="70"/>
      <c r="BI9" s="182" t="s">
        <v>239</v>
      </c>
      <c r="BJ9" s="70"/>
      <c r="BK9" s="70"/>
      <c r="BL9" s="182" t="s">
        <v>240</v>
      </c>
      <c r="BM9" s="70"/>
      <c r="BN9" s="70"/>
      <c r="BO9" s="182" t="s">
        <v>241</v>
      </c>
      <c r="BP9" s="115"/>
      <c r="BQ9" s="115"/>
    </row>
    <row r="10" spans="1:73" ht="15" customHeight="1">
      <c r="D10" s="156" t="str">
        <f>IF(Konfiguration_Configuration!$B$2=Konfiguration_Configuration!$L$1,'Notizenblatt_Feuille de juge'!D8,'Notizenblatt_Feuille de juge'!D9)</f>
        <v>TN1</v>
      </c>
      <c r="E10" s="156"/>
      <c r="F10" s="156"/>
      <c r="G10" s="156" t="str">
        <f>IF(Konfiguration_Configuration!$B$2=Konfiguration_Configuration!$L$1,'Notizenblatt_Feuille de juge'!G8,'Notizenblatt_Feuille de juge'!G9)</f>
        <v>TN2</v>
      </c>
      <c r="H10" s="156"/>
      <c r="I10" s="156"/>
      <c r="J10" s="156" t="str">
        <f>IF(Konfiguration_Configuration!$B$2=Konfiguration_Configuration!$L$1,'Notizenblatt_Feuille de juge'!J8,'Notizenblatt_Feuille de juge'!J9)</f>
        <v>TN3</v>
      </c>
      <c r="K10" s="156"/>
      <c r="L10" s="156"/>
      <c r="M10" s="156" t="str">
        <f>IF(Konfiguration_Configuration!$B$2=Konfiguration_Configuration!$L$1,'Notizenblatt_Feuille de juge'!M8,'Notizenblatt_Feuille de juge'!M9)</f>
        <v>TN4</v>
      </c>
      <c r="N10" s="156"/>
      <c r="O10" s="156"/>
      <c r="P10" s="156" t="str">
        <f>IF(Konfiguration_Configuration!$B$2=Konfiguration_Configuration!$L$1,'Notizenblatt_Feuille de juge'!P8,'Notizenblatt_Feuille de juge'!P9)</f>
        <v>TN5</v>
      </c>
      <c r="Q10" s="156"/>
      <c r="R10" s="156"/>
      <c r="U10" s="156" t="str">
        <f>IF(Konfiguration_Configuration!$B$2=Konfiguration_Configuration!$L$1,'Notizenblatt_Feuille de juge'!U8,'Notizenblatt_Feuille de juge'!U9)</f>
        <v>TN6</v>
      </c>
      <c r="V10" s="156"/>
      <c r="W10" s="156"/>
      <c r="X10" s="156" t="str">
        <f>IF(Konfiguration_Configuration!$B$2=Konfiguration_Configuration!$L$1,'Notizenblatt_Feuille de juge'!X8,'Notizenblatt_Feuille de juge'!X9)</f>
        <v>TN7</v>
      </c>
      <c r="Y10" s="156"/>
      <c r="Z10" s="156"/>
      <c r="AA10" s="156" t="str">
        <f>IF(Konfiguration_Configuration!$B$2=Konfiguration_Configuration!$L$1,'Notizenblatt_Feuille de juge'!AA8,'Notizenblatt_Feuille de juge'!AA9)</f>
        <v>TN8</v>
      </c>
      <c r="AB10" s="156"/>
      <c r="AC10" s="156"/>
      <c r="AD10" s="156" t="str">
        <f>IF(Konfiguration_Configuration!$B$2=Konfiguration_Configuration!$L$1,'Notizenblatt_Feuille de juge'!AD8,'Notizenblatt_Feuille de juge'!AD9)</f>
        <v>TN9</v>
      </c>
      <c r="AE10" s="156"/>
      <c r="AF10" s="156"/>
      <c r="AG10" s="156" t="str">
        <f>IF(Konfiguration_Configuration!$B$2=Konfiguration_Configuration!$L$1,'Notizenblatt_Feuille de juge'!AG8,'Notizenblatt_Feuille de juge'!AG9)</f>
        <v>TN10</v>
      </c>
      <c r="AH10" s="156"/>
      <c r="AI10" s="156"/>
      <c r="AL10" s="156" t="str">
        <f>IF(Konfiguration_Configuration!$B$2=Konfiguration_Configuration!$L$1,'Notizenblatt_Feuille de juge'!AL8,'Notizenblatt_Feuille de juge'!AL9)</f>
        <v>TN11</v>
      </c>
      <c r="AM10" s="156"/>
      <c r="AN10" s="156"/>
      <c r="AO10" s="156" t="str">
        <f>IF(Konfiguration_Configuration!$B$2=Konfiguration_Configuration!$L$1,'Notizenblatt_Feuille de juge'!AO8,'Notizenblatt_Feuille de juge'!AO9)</f>
        <v>TN12</v>
      </c>
      <c r="AP10" s="156"/>
      <c r="AQ10" s="156"/>
      <c r="AR10" s="156" t="str">
        <f>IF(Konfiguration_Configuration!$B$2=Konfiguration_Configuration!$L$1,'Notizenblatt_Feuille de juge'!AR8,'Notizenblatt_Feuille de juge'!AR9)</f>
        <v>TN13</v>
      </c>
      <c r="AS10" s="156"/>
      <c r="AT10" s="156"/>
      <c r="AU10" s="156" t="str">
        <f>IF(Konfiguration_Configuration!$B$2=Konfiguration_Configuration!$L$1,'Notizenblatt_Feuille de juge'!AU8,'Notizenblatt_Feuille de juge'!AU9)</f>
        <v>TN14</v>
      </c>
      <c r="AV10" s="156"/>
      <c r="AW10" s="156"/>
      <c r="AX10" s="156" t="str">
        <f>IF(Konfiguration_Configuration!$B$2=Konfiguration_Configuration!$L$1,'Notizenblatt_Feuille de juge'!AX8,'Notizenblatt_Feuille de juge'!AX9)</f>
        <v>TN15</v>
      </c>
      <c r="AY10" s="156"/>
      <c r="AZ10" s="156"/>
      <c r="BC10" s="156" t="str">
        <f>IF(Konfiguration_Configuration!$B$2=Konfiguration_Configuration!$L$1,'Notizenblatt_Feuille de juge'!BC8,'Notizenblatt_Feuille de juge'!BC9)</f>
        <v>TN16</v>
      </c>
      <c r="BD10" s="156"/>
      <c r="BE10" s="156"/>
      <c r="BF10" s="156" t="str">
        <f>IF(Konfiguration_Configuration!$B$2=Konfiguration_Configuration!$L$1,'Notizenblatt_Feuille de juge'!BF8,'Notizenblatt_Feuille de juge'!BF9)</f>
        <v>TN17</v>
      </c>
      <c r="BG10" s="156"/>
      <c r="BH10" s="156"/>
      <c r="BI10" s="156" t="str">
        <f>IF(Konfiguration_Configuration!$B$2=Konfiguration_Configuration!$L$1,'Notizenblatt_Feuille de juge'!BI8,'Notizenblatt_Feuille de juge'!BI9)</f>
        <v>TN18</v>
      </c>
      <c r="BJ10" s="156"/>
      <c r="BK10" s="156"/>
      <c r="BL10" s="156" t="str">
        <f>IF(Konfiguration_Configuration!$B$2=Konfiguration_Configuration!$L$1,'Notizenblatt_Feuille de juge'!BL8,'Notizenblatt_Feuille de juge'!BL9)</f>
        <v>TN19</v>
      </c>
      <c r="BM10" s="156"/>
      <c r="BN10" s="156"/>
      <c r="BO10" s="156" t="str">
        <f>IF(Konfiguration_Configuration!$B$2=Konfiguration_Configuration!$L$1,'Notizenblatt_Feuille de juge'!BO8,'Notizenblatt_Feuille de juge'!BO9)</f>
        <v>TN20</v>
      </c>
      <c r="BP10" s="156"/>
      <c r="BQ10" s="156"/>
    </row>
    <row r="11" spans="1:73" ht="21" customHeight="1">
      <c r="A11" s="148"/>
      <c r="B11" s="172" t="str">
        <f>Konfiguration_Configuration!B$21</f>
        <v>Name</v>
      </c>
      <c r="C11" s="159"/>
      <c r="D11" s="173" t="str">
        <f>IF(Konfiguration_Configuration!$B$22="","",Konfiguration_Configuration!$B$22)</f>
        <v/>
      </c>
      <c r="E11" s="173"/>
      <c r="F11" s="174"/>
      <c r="G11" s="162" t="str">
        <f>IF(Konfiguration_Configuration!$B$23="","",Konfiguration_Configuration!$B$23)</f>
        <v/>
      </c>
      <c r="H11" s="163"/>
      <c r="I11" s="164"/>
      <c r="J11" s="162" t="str">
        <f>IF(Konfiguration_Configuration!$B$24="","",Konfiguration_Configuration!$B$24)</f>
        <v/>
      </c>
      <c r="K11" s="163"/>
      <c r="L11" s="164"/>
      <c r="M11" s="162" t="str">
        <f>IF(Konfiguration_Configuration!$B$25="","",Konfiguration_Configuration!$B$25)</f>
        <v/>
      </c>
      <c r="N11" s="163"/>
      <c r="O11" s="164"/>
      <c r="P11" s="162" t="str">
        <f>IF(Konfiguration_Configuration!$B$26="","",Konfiguration_Configuration!$B$26)</f>
        <v/>
      </c>
      <c r="Q11" s="163"/>
      <c r="R11" s="164"/>
      <c r="S11" s="158" t="str">
        <f>B11</f>
        <v>Name</v>
      </c>
      <c r="T11" s="159"/>
      <c r="U11" s="162" t="str">
        <f>IF(Konfiguration_Configuration!$B$27="","",Konfiguration_Configuration!$B$27)</f>
        <v/>
      </c>
      <c r="V11" s="163"/>
      <c r="W11" s="164"/>
      <c r="X11" s="162" t="str">
        <f>IF(Konfiguration_Configuration!$B$28="","",Konfiguration_Configuration!$B$28)</f>
        <v/>
      </c>
      <c r="Y11" s="163"/>
      <c r="Z11" s="164"/>
      <c r="AA11" s="162" t="str">
        <f>IF(Konfiguration_Configuration!$B$29="","",Konfiguration_Configuration!$B$29)</f>
        <v/>
      </c>
      <c r="AB11" s="163"/>
      <c r="AC11" s="164"/>
      <c r="AD11" s="162" t="str">
        <f>IF(Konfiguration_Configuration!$B$30="","",Konfiguration_Configuration!$B$30)</f>
        <v/>
      </c>
      <c r="AE11" s="163"/>
      <c r="AF11" s="164"/>
      <c r="AG11" s="162" t="str">
        <f>IF(Konfiguration_Configuration!$B$31="","",Konfiguration_Configuration!$B$31)</f>
        <v/>
      </c>
      <c r="AH11" s="163"/>
      <c r="AI11" s="164"/>
      <c r="AJ11" s="158" t="str">
        <f>B11</f>
        <v>Name</v>
      </c>
      <c r="AK11" s="159"/>
      <c r="AL11" s="162" t="str">
        <f>IF(Konfiguration_Configuration!$B$32="","",Konfiguration_Configuration!$B$32)</f>
        <v/>
      </c>
      <c r="AM11" s="163"/>
      <c r="AN11" s="164"/>
      <c r="AO11" s="162" t="str">
        <f>IF(Konfiguration_Configuration!$B$33="","",Konfiguration_Configuration!$B$33)</f>
        <v/>
      </c>
      <c r="AP11" s="163"/>
      <c r="AQ11" s="164"/>
      <c r="AR11" s="162" t="str">
        <f>IF(Konfiguration_Configuration!$B$34="","",Konfiguration_Configuration!$B$34)</f>
        <v/>
      </c>
      <c r="AS11" s="163"/>
      <c r="AT11" s="164"/>
      <c r="AU11" s="162" t="str">
        <f>IF(Konfiguration_Configuration!$B$35="","",Konfiguration_Configuration!$B$35)</f>
        <v/>
      </c>
      <c r="AV11" s="163"/>
      <c r="AW11" s="164"/>
      <c r="AX11" s="162" t="str">
        <f>IF(Konfiguration_Configuration!$B$36="","",Konfiguration_Configuration!$B$36)</f>
        <v/>
      </c>
      <c r="AY11" s="163"/>
      <c r="AZ11" s="164"/>
      <c r="BA11" s="158" t="str">
        <f>B11</f>
        <v>Name</v>
      </c>
      <c r="BB11" s="159"/>
      <c r="BC11" s="162" t="str">
        <f>IF(Konfiguration_Configuration!$B$37="","",Konfiguration_Configuration!$B$37)</f>
        <v/>
      </c>
      <c r="BD11" s="163"/>
      <c r="BE11" s="164"/>
      <c r="BF11" s="162" t="str">
        <f>IF(Konfiguration_Configuration!$B$38="","",Konfiguration_Configuration!$B$38)</f>
        <v/>
      </c>
      <c r="BG11" s="163"/>
      <c r="BH11" s="164"/>
      <c r="BI11" s="162" t="str">
        <f>IF(Konfiguration_Configuration!$B$39="","",Konfiguration_Configuration!$B$39)</f>
        <v/>
      </c>
      <c r="BJ11" s="163"/>
      <c r="BK11" s="164"/>
      <c r="BL11" s="162" t="str">
        <f>IF(Konfiguration_Configuration!$B$40="","",Konfiguration_Configuration!$B$40)</f>
        <v/>
      </c>
      <c r="BM11" s="163"/>
      <c r="BN11" s="164"/>
      <c r="BO11" s="162" t="str">
        <f>IF(Konfiguration_Configuration!$B$41="","",Konfiguration_Configuration!$B$41)</f>
        <v/>
      </c>
      <c r="BP11" s="163"/>
      <c r="BQ11" s="164"/>
    </row>
    <row r="12" spans="1:73" ht="25.5" customHeight="1">
      <c r="A12" s="131"/>
      <c r="B12" s="160" t="str">
        <f>Konfiguration_Configuration!E$11</f>
        <v>Klub</v>
      </c>
      <c r="C12" s="161"/>
      <c r="D12" s="179" t="str">
        <f>IF(Konfiguration_Configuration!$E$22="","",Konfiguration_Configuration!$E$22) &amp; IF(Konfiguration_Configuration!$H$22="",""," / " &amp; Konfiguration_Configuration!$H$22)</f>
        <v/>
      </c>
      <c r="E12" s="180"/>
      <c r="F12" s="181"/>
      <c r="G12" s="165" t="str">
        <f>IF(Konfiguration_Configuration!$E$23="","",Konfiguration_Configuration!$E$23) &amp; IF(Konfiguration_Configuration!$H$23="",""," / " &amp; Konfiguration_Configuration!$H$23)</f>
        <v/>
      </c>
      <c r="H12" s="166"/>
      <c r="I12" s="167"/>
      <c r="J12" s="165" t="str">
        <f>IF(Konfiguration_Configuration!$E$24="","",Konfiguration_Configuration!$E$24) &amp; IF(Konfiguration_Configuration!$H$24="",""," / " &amp; Konfiguration_Configuration!$H$24)</f>
        <v/>
      </c>
      <c r="K12" s="166"/>
      <c r="L12" s="167"/>
      <c r="M12" s="165" t="str">
        <f>IF(Konfiguration_Configuration!$E$25="","",Konfiguration_Configuration!$E$25) &amp; IF(Konfiguration_Configuration!$H$25="",""," / " &amp; Konfiguration_Configuration!$H$25)</f>
        <v/>
      </c>
      <c r="N12" s="166"/>
      <c r="O12" s="167"/>
      <c r="P12" s="165" t="str">
        <f>IF(Konfiguration_Configuration!$E$26="","",Konfiguration_Configuration!$E$26) &amp; IF(Konfiguration_Configuration!$H$26="",""," / " &amp; Konfiguration_Configuration!$H$26)</f>
        <v/>
      </c>
      <c r="Q12" s="166"/>
      <c r="R12" s="167"/>
      <c r="S12" s="160" t="str">
        <f>B12</f>
        <v>Klub</v>
      </c>
      <c r="T12" s="161"/>
      <c r="U12" s="165" t="str">
        <f>IF(Konfiguration_Configuration!$E$27="","",Konfiguration_Configuration!$E$27) &amp; IF(Konfiguration_Configuration!$H$27="",""," / " &amp; Konfiguration_Configuration!$H$27)</f>
        <v/>
      </c>
      <c r="V12" s="166"/>
      <c r="W12" s="167"/>
      <c r="X12" s="165" t="str">
        <f>IF(Konfiguration_Configuration!$E$28="","",Konfiguration_Configuration!$E$28) &amp; IF(Konfiguration_Configuration!$H$28="",""," / " &amp; Konfiguration_Configuration!$H$28)</f>
        <v/>
      </c>
      <c r="Y12" s="166"/>
      <c r="Z12" s="167"/>
      <c r="AA12" s="165" t="str">
        <f>IF(Konfiguration_Configuration!$E$29="","",Konfiguration_Configuration!$E$29) &amp; IF(Konfiguration_Configuration!$H$29="",""," / " &amp; Konfiguration_Configuration!$H$29)</f>
        <v/>
      </c>
      <c r="AB12" s="166"/>
      <c r="AC12" s="167"/>
      <c r="AD12" s="165" t="str">
        <f>IF(Konfiguration_Configuration!$E$30="","",Konfiguration_Configuration!$E$30) &amp; IF(Konfiguration_Configuration!$H$30="",""," / " &amp; Konfiguration_Configuration!$H$30)</f>
        <v/>
      </c>
      <c r="AE12" s="166"/>
      <c r="AF12" s="167"/>
      <c r="AG12" s="165" t="str">
        <f>IF(Konfiguration_Configuration!$E$31="","",Konfiguration_Configuration!$E$31) &amp; IF(Konfiguration_Configuration!$H$31="",""," / " &amp; Konfiguration_Configuration!$H$31)</f>
        <v/>
      </c>
      <c r="AH12" s="166"/>
      <c r="AI12" s="167"/>
      <c r="AJ12" s="160" t="str">
        <f>B12</f>
        <v>Klub</v>
      </c>
      <c r="AK12" s="161"/>
      <c r="AL12" s="165" t="str">
        <f>IF(Konfiguration_Configuration!$E$32="","",Konfiguration_Configuration!$E$32) &amp; IF(Konfiguration_Configuration!$H$32="",""," / " &amp; Konfiguration_Configuration!$H$32)</f>
        <v/>
      </c>
      <c r="AM12" s="166"/>
      <c r="AN12" s="167"/>
      <c r="AO12" s="165" t="str">
        <f>IF(Konfiguration_Configuration!$E$33="","",Konfiguration_Configuration!$E$33) &amp; IF(Konfiguration_Configuration!$H$33="",""," / " &amp; Konfiguration_Configuration!$H$33)</f>
        <v/>
      </c>
      <c r="AP12" s="166"/>
      <c r="AQ12" s="167"/>
      <c r="AR12" s="165" t="str">
        <f>IF(Konfiguration_Configuration!$E$34="","",Konfiguration_Configuration!$E$34) &amp; IF(Konfiguration_Configuration!$H$34="",""," / " &amp; Konfiguration_Configuration!$H$34)</f>
        <v/>
      </c>
      <c r="AS12" s="166"/>
      <c r="AT12" s="167"/>
      <c r="AU12" s="165" t="str">
        <f>IF(Konfiguration_Configuration!$E$35="","",Konfiguration_Configuration!$E$35) &amp; IF(Konfiguration_Configuration!$H$35="",""," / " &amp; Konfiguration_Configuration!$H$35)</f>
        <v/>
      </c>
      <c r="AV12" s="166"/>
      <c r="AW12" s="167"/>
      <c r="AX12" s="165" t="str">
        <f>IF(Konfiguration_Configuration!$E$36="","",Konfiguration_Configuration!$E$36) &amp; IF(Konfiguration_Configuration!$H$36="",""," / " &amp; Konfiguration_Configuration!$H$36)</f>
        <v/>
      </c>
      <c r="AY12" s="166"/>
      <c r="AZ12" s="167"/>
      <c r="BA12" s="160" t="str">
        <f>B12</f>
        <v>Klub</v>
      </c>
      <c r="BB12" s="161"/>
      <c r="BC12" s="165" t="str">
        <f>IF(Konfiguration_Configuration!$E$37="","",Konfiguration_Configuration!$E$37) &amp; IF(Konfiguration_Configuration!$H$37="",""," / " &amp; Konfiguration_Configuration!$H$37)</f>
        <v/>
      </c>
      <c r="BD12" s="166"/>
      <c r="BE12" s="167"/>
      <c r="BF12" s="165" t="str">
        <f>IF(Konfiguration_Configuration!$E$38="","",Konfiguration_Configuration!$E$38) &amp; IF(Konfiguration_Configuration!$H$38="",""," / " &amp; Konfiguration_Configuration!$H$38)</f>
        <v/>
      </c>
      <c r="BG12" s="166"/>
      <c r="BH12" s="167"/>
      <c r="BI12" s="165" t="str">
        <f>IF(Konfiguration_Configuration!$E$39="","",Konfiguration_Configuration!$E$39) &amp; IF(Konfiguration_Configuration!$H$39="",""," / " &amp; Konfiguration_Configuration!$H$39)</f>
        <v/>
      </c>
      <c r="BJ12" s="166"/>
      <c r="BK12" s="167"/>
      <c r="BL12" s="165" t="str">
        <f>IF(Konfiguration_Configuration!$E$40="","",Konfiguration_Configuration!$E$40) &amp; IF(Konfiguration_Configuration!$H$40="",""," / " &amp; Konfiguration_Configuration!$H$40)</f>
        <v/>
      </c>
      <c r="BM12" s="166"/>
      <c r="BN12" s="167"/>
      <c r="BO12" s="165" t="str">
        <f>IF(Konfiguration_Configuration!$E$41="","",Konfiguration_Configuration!$E$41) &amp; IF(Konfiguration_Configuration!$H$41="",""," / " &amp; Konfiguration_Configuration!$H$41)</f>
        <v/>
      </c>
      <c r="BP12" s="166"/>
      <c r="BQ12" s="167"/>
    </row>
    <row r="13" spans="1:73" ht="32.1" customHeight="1">
      <c r="A13" s="132" t="str">
        <f>Daten!C$4</f>
        <v>Elemente</v>
      </c>
      <c r="B13" s="133" t="s">
        <v>242</v>
      </c>
      <c r="C13" s="134"/>
      <c r="D13" s="183" t="str">
        <f>IF(Konfiguration_Configuration!$B$2=Konfiguration_Configuration!$L$1,'Notizenblatt_Feuille de juge'!$A$8,'Notizenblatt_Feuille de juge'!$A$9)</f>
        <v>Bemerkungen</v>
      </c>
      <c r="E13" s="135" t="s">
        <v>243</v>
      </c>
      <c r="F13" s="183" t="str">
        <f>IF(Konfiguration_Configuration!$B$2=Konfiguration_Configuration!$L$1,'Notizenblatt_Feuille de juge'!$C$8,'Notizenblatt_Feuille de juge'!$C$9)</f>
        <v>Wert</v>
      </c>
      <c r="G13" s="183" t="str">
        <f>IF(Konfiguration_Configuration!$B$2=Konfiguration_Configuration!$L$1,'Notizenblatt_Feuille de juge'!$A$8,'Notizenblatt_Feuille de juge'!$A$9)</f>
        <v>Bemerkungen</v>
      </c>
      <c r="H13" s="135" t="s">
        <v>243</v>
      </c>
      <c r="I13" s="183" t="str">
        <f>IF(Konfiguration_Configuration!$B$2=Konfiguration_Configuration!$L$1,'Notizenblatt_Feuille de juge'!$C$8,'Notizenblatt_Feuille de juge'!$C$9)</f>
        <v>Wert</v>
      </c>
      <c r="J13" s="183" t="str">
        <f>IF(Konfiguration_Configuration!$B$2=Konfiguration_Configuration!$L$1,'Notizenblatt_Feuille de juge'!$A$8,'Notizenblatt_Feuille de juge'!$A$9)</f>
        <v>Bemerkungen</v>
      </c>
      <c r="K13" s="135" t="s">
        <v>243</v>
      </c>
      <c r="L13" s="183" t="str">
        <f>IF(Konfiguration_Configuration!$B$2=Konfiguration_Configuration!$L$1,'Notizenblatt_Feuille de juge'!$C$8,'Notizenblatt_Feuille de juge'!$C$9)</f>
        <v>Wert</v>
      </c>
      <c r="M13" s="183" t="str">
        <f>IF(Konfiguration_Configuration!$B$2=Konfiguration_Configuration!$L$1,'Notizenblatt_Feuille de juge'!$A$8,'Notizenblatt_Feuille de juge'!$A$9)</f>
        <v>Bemerkungen</v>
      </c>
      <c r="N13" s="135" t="s">
        <v>243</v>
      </c>
      <c r="O13" s="183" t="str">
        <f>IF(Konfiguration_Configuration!$B$2=Konfiguration_Configuration!$L$1,'Notizenblatt_Feuille de juge'!$C$8,'Notizenblatt_Feuille de juge'!$C$9)</f>
        <v>Wert</v>
      </c>
      <c r="P13" s="183" t="str">
        <f>IF(Konfiguration_Configuration!$B$2=Konfiguration_Configuration!$L$1,'Notizenblatt_Feuille de juge'!$A$8,'Notizenblatt_Feuille de juge'!$A$9)</f>
        <v>Bemerkungen</v>
      </c>
      <c r="Q13" s="135" t="s">
        <v>243</v>
      </c>
      <c r="R13" s="183" t="str">
        <f>IF(Konfiguration_Configuration!$B$2=Konfiguration_Configuration!$L$1,'Notizenblatt_Feuille de juge'!$C$8,'Notizenblatt_Feuille de juge'!$C$9)</f>
        <v>Wert</v>
      </c>
      <c r="S13" s="133" t="s">
        <v>242</v>
      </c>
      <c r="T13" s="134"/>
      <c r="U13" s="183" t="str">
        <f>IF(Konfiguration_Configuration!$B$2=Konfiguration_Configuration!$L$1,'Notizenblatt_Feuille de juge'!$A$8,'Notizenblatt_Feuille de juge'!$A$9)</f>
        <v>Bemerkungen</v>
      </c>
      <c r="V13" s="135" t="s">
        <v>243</v>
      </c>
      <c r="W13" s="183" t="str">
        <f>IF(Konfiguration_Configuration!$B$2=Konfiguration_Configuration!$L$1,'Notizenblatt_Feuille de juge'!$C$8,'Notizenblatt_Feuille de juge'!$C$9)</f>
        <v>Wert</v>
      </c>
      <c r="X13" s="183" t="str">
        <f>IF(Konfiguration_Configuration!$B$2=Konfiguration_Configuration!$L$1,'Notizenblatt_Feuille de juge'!$A$8,'Notizenblatt_Feuille de juge'!$A$9)</f>
        <v>Bemerkungen</v>
      </c>
      <c r="Y13" s="135" t="s">
        <v>243</v>
      </c>
      <c r="Z13" s="183" t="str">
        <f>IF(Konfiguration_Configuration!$B$2=Konfiguration_Configuration!$L$1,'Notizenblatt_Feuille de juge'!$C$8,'Notizenblatt_Feuille de juge'!$C$9)</f>
        <v>Wert</v>
      </c>
      <c r="AA13" s="183" t="str">
        <f>IF(Konfiguration_Configuration!$B$2=Konfiguration_Configuration!$L$1,'Notizenblatt_Feuille de juge'!$A$8,'Notizenblatt_Feuille de juge'!$A$9)</f>
        <v>Bemerkungen</v>
      </c>
      <c r="AB13" s="135" t="s">
        <v>243</v>
      </c>
      <c r="AC13" s="183" t="str">
        <f>IF(Konfiguration_Configuration!$B$2=Konfiguration_Configuration!$L$1,'Notizenblatt_Feuille de juge'!$C$8,'Notizenblatt_Feuille de juge'!$C$9)</f>
        <v>Wert</v>
      </c>
      <c r="AD13" s="183" t="str">
        <f>IF(Konfiguration_Configuration!$B$2=Konfiguration_Configuration!$L$1,'Notizenblatt_Feuille de juge'!$A$8,'Notizenblatt_Feuille de juge'!$A$9)</f>
        <v>Bemerkungen</v>
      </c>
      <c r="AE13" s="135" t="s">
        <v>243</v>
      </c>
      <c r="AF13" s="183" t="str">
        <f>IF(Konfiguration_Configuration!$B$2=Konfiguration_Configuration!$L$1,'Notizenblatt_Feuille de juge'!$C$8,'Notizenblatt_Feuille de juge'!$C$9)</f>
        <v>Wert</v>
      </c>
      <c r="AG13" s="183" t="str">
        <f>IF(Konfiguration_Configuration!$B$2=Konfiguration_Configuration!$L$1,'Notizenblatt_Feuille de juge'!$A$8,'Notizenblatt_Feuille de juge'!$A$9)</f>
        <v>Bemerkungen</v>
      </c>
      <c r="AH13" s="135" t="s">
        <v>243</v>
      </c>
      <c r="AI13" s="183" t="str">
        <f>IF(Konfiguration_Configuration!$B$2=Konfiguration_Configuration!$L$1,'Notizenblatt_Feuille de juge'!$C$8,'Notizenblatt_Feuille de juge'!$C$9)</f>
        <v>Wert</v>
      </c>
      <c r="AJ13" s="133" t="s">
        <v>242</v>
      </c>
      <c r="AK13" s="134"/>
      <c r="AL13" s="183" t="str">
        <f>IF(Konfiguration_Configuration!$B$2=Konfiguration_Configuration!$L$1,'Notizenblatt_Feuille de juge'!$A$8,'Notizenblatt_Feuille de juge'!$A$9)</f>
        <v>Bemerkungen</v>
      </c>
      <c r="AM13" s="135" t="s">
        <v>243</v>
      </c>
      <c r="AN13" s="183" t="str">
        <f>IF(Konfiguration_Configuration!$B$2=Konfiguration_Configuration!$L$1,'Notizenblatt_Feuille de juge'!$C$8,'Notizenblatt_Feuille de juge'!$C$9)</f>
        <v>Wert</v>
      </c>
      <c r="AO13" s="183" t="str">
        <f>IF(Konfiguration_Configuration!$B$2=Konfiguration_Configuration!$L$1,'Notizenblatt_Feuille de juge'!$A$8,'Notizenblatt_Feuille de juge'!$A$9)</f>
        <v>Bemerkungen</v>
      </c>
      <c r="AP13" s="135" t="s">
        <v>243</v>
      </c>
      <c r="AQ13" s="183" t="str">
        <f>IF(Konfiguration_Configuration!$B$2=Konfiguration_Configuration!$L$1,'Notizenblatt_Feuille de juge'!$C$8,'Notizenblatt_Feuille de juge'!$C$9)</f>
        <v>Wert</v>
      </c>
      <c r="AR13" s="183" t="str">
        <f>IF(Konfiguration_Configuration!$B$2=Konfiguration_Configuration!$L$1,'Notizenblatt_Feuille de juge'!$A$8,'Notizenblatt_Feuille de juge'!$A$9)</f>
        <v>Bemerkungen</v>
      </c>
      <c r="AS13" s="135" t="s">
        <v>243</v>
      </c>
      <c r="AT13" s="183" t="str">
        <f>IF(Konfiguration_Configuration!$B$2=Konfiguration_Configuration!$L$1,'Notizenblatt_Feuille de juge'!$C$8,'Notizenblatt_Feuille de juge'!$C$9)</f>
        <v>Wert</v>
      </c>
      <c r="AU13" s="183" t="str">
        <f>IF(Konfiguration_Configuration!$B$2=Konfiguration_Configuration!$L$1,'Notizenblatt_Feuille de juge'!$A$8,'Notizenblatt_Feuille de juge'!$A$9)</f>
        <v>Bemerkungen</v>
      </c>
      <c r="AV13" s="135" t="s">
        <v>243</v>
      </c>
      <c r="AW13" s="183" t="str">
        <f>IF(Konfiguration_Configuration!$B$2=Konfiguration_Configuration!$L$1,'Notizenblatt_Feuille de juge'!$C$8,'Notizenblatt_Feuille de juge'!$C$9)</f>
        <v>Wert</v>
      </c>
      <c r="AX13" s="183" t="str">
        <f>IF(Konfiguration_Configuration!$B$2=Konfiguration_Configuration!$L$1,'Notizenblatt_Feuille de juge'!$A$8,'Notizenblatt_Feuille de juge'!$A$9)</f>
        <v>Bemerkungen</v>
      </c>
      <c r="AY13" s="135" t="s">
        <v>243</v>
      </c>
      <c r="AZ13" s="183" t="str">
        <f>IF(Konfiguration_Configuration!$B$2=Konfiguration_Configuration!$L$1,'Notizenblatt_Feuille de juge'!$C$8,'Notizenblatt_Feuille de juge'!$C$9)</f>
        <v>Wert</v>
      </c>
      <c r="BA13" s="133" t="s">
        <v>242</v>
      </c>
      <c r="BB13" s="134"/>
      <c r="BC13" s="183" t="str">
        <f>IF(Konfiguration_Configuration!$B$2=Konfiguration_Configuration!$L$1,'Notizenblatt_Feuille de juge'!$A$8,'Notizenblatt_Feuille de juge'!$A$9)</f>
        <v>Bemerkungen</v>
      </c>
      <c r="BD13" s="135" t="s">
        <v>243</v>
      </c>
      <c r="BE13" s="183" t="str">
        <f>IF(Konfiguration_Configuration!$B$2=Konfiguration_Configuration!$L$1,'Notizenblatt_Feuille de juge'!$C$8,'Notizenblatt_Feuille de juge'!$C$9)</f>
        <v>Wert</v>
      </c>
      <c r="BF13" s="183" t="str">
        <f>IF(Konfiguration_Configuration!$B$2=Konfiguration_Configuration!$L$1,'Notizenblatt_Feuille de juge'!$A$8,'Notizenblatt_Feuille de juge'!$A$9)</f>
        <v>Bemerkungen</v>
      </c>
      <c r="BG13" s="135" t="s">
        <v>243</v>
      </c>
      <c r="BH13" s="183" t="str">
        <f>IF(Konfiguration_Configuration!$B$2=Konfiguration_Configuration!$L$1,'Notizenblatt_Feuille de juge'!$C$8,'Notizenblatt_Feuille de juge'!$C$9)</f>
        <v>Wert</v>
      </c>
      <c r="BI13" s="183" t="str">
        <f>IF(Konfiguration_Configuration!$B$2=Konfiguration_Configuration!$L$1,'Notizenblatt_Feuille de juge'!$A$8,'Notizenblatt_Feuille de juge'!$A$9)</f>
        <v>Bemerkungen</v>
      </c>
      <c r="BJ13" s="135" t="s">
        <v>243</v>
      </c>
      <c r="BK13" s="183" t="str">
        <f>IF(Konfiguration_Configuration!$B$2=Konfiguration_Configuration!$L$1,'Notizenblatt_Feuille de juge'!$C$8,'Notizenblatt_Feuille de juge'!$C$9)</f>
        <v>Wert</v>
      </c>
      <c r="BL13" s="183" t="str">
        <f>IF(Konfiguration_Configuration!$B$2=Konfiguration_Configuration!$L$1,'Notizenblatt_Feuille de juge'!$A$8,'Notizenblatt_Feuille de juge'!$A$9)</f>
        <v>Bemerkungen</v>
      </c>
      <c r="BM13" s="135" t="s">
        <v>243</v>
      </c>
      <c r="BN13" s="183" t="str">
        <f>IF(Konfiguration_Configuration!$B$2=Konfiguration_Configuration!$L$1,'Notizenblatt_Feuille de juge'!$C$8,'Notizenblatt_Feuille de juge'!$C$9)</f>
        <v>Wert</v>
      </c>
      <c r="BO13" s="183" t="str">
        <f>IF(Konfiguration_Configuration!$B$2=Konfiguration_Configuration!$L$1,'Notizenblatt_Feuille de juge'!$A$8,'Notizenblatt_Feuille de juge'!$A$9)</f>
        <v>Bemerkungen</v>
      </c>
      <c r="BP13" s="135" t="s">
        <v>243</v>
      </c>
      <c r="BQ13" s="183" t="str">
        <f>IF(Konfiguration_Configuration!$B$2=Konfiguration_Configuration!$L$1,'Notizenblatt_Feuille de juge'!$C$8,'Notizenblatt_Feuille de juge'!$C$9)</f>
        <v>Wert</v>
      </c>
    </row>
    <row r="14" spans="1:73" ht="32.1" customHeight="1">
      <c r="A14" s="136" t="str">
        <f>CONCATENATE(LEFT(A$13,LEN(A$13)-1)," 1:")</f>
        <v>Element 1:</v>
      </c>
      <c r="B14" s="168">
        <f>VLOOKUP(CONCATENATE("1",Konfiguration_Configuration!$N$6),Daten!$B$5:$E$99,3,FALSE)</f>
        <v>1</v>
      </c>
      <c r="C14" s="137" t="s">
        <v>244</v>
      </c>
      <c r="D14" s="239" t="str">
        <f>IF(VLOOKUP(CONCATENATE("1",Konfiguration_Configuration!$N$6),Daten!$B$5:$F$99,5,FALSE)=1,"R/d","")</f>
        <v/>
      </c>
      <c r="E14" s="184"/>
      <c r="F14" s="188"/>
      <c r="G14" s="239" t="str">
        <f>IF(VLOOKUP(CONCATENATE("1",Konfiguration_Configuration!$N$6),Daten!$B$5:$F$99,5,FALSE)=1,"R/d","")</f>
        <v/>
      </c>
      <c r="H14" s="184"/>
      <c r="I14" s="188"/>
      <c r="J14" s="239" t="str">
        <f>IF(VLOOKUP(CONCATENATE("1",Konfiguration_Configuration!$N$6),Daten!$B$5:$F$99,5,FALSE)=1,"R/d","")</f>
        <v/>
      </c>
      <c r="K14" s="184"/>
      <c r="L14" s="188"/>
      <c r="M14" s="239" t="str">
        <f>IF(VLOOKUP(CONCATENATE("1",Konfiguration_Configuration!$N$6),Daten!$B$5:$F$99,5,FALSE)=1,"R/d","")</f>
        <v/>
      </c>
      <c r="N14" s="184"/>
      <c r="O14" s="188"/>
      <c r="P14" s="239" t="str">
        <f>IF(VLOOKUP(CONCATENATE("1",Konfiguration_Configuration!$N$6),Daten!$B$5:$F$99,5,FALSE)=1,"R/d","")</f>
        <v/>
      </c>
      <c r="Q14" s="184"/>
      <c r="R14" s="188"/>
      <c r="S14" s="168">
        <f>VLOOKUP(CONCATENATE("1",Konfiguration_Configuration!$N$6),Daten!$B$5:$E$99,3,FALSE)</f>
        <v>1</v>
      </c>
      <c r="T14" s="137" t="s">
        <v>244</v>
      </c>
      <c r="U14" s="239" t="str">
        <f>IF(VLOOKUP(CONCATENATE("1",Konfiguration_Configuration!$N$6),Daten!$B$5:$F$99,5,FALSE)=1,"R/d","")</f>
        <v/>
      </c>
      <c r="V14" s="184"/>
      <c r="W14" s="188"/>
      <c r="X14" s="239" t="str">
        <f>IF(VLOOKUP(CONCATENATE("1",Konfiguration_Configuration!$N$6),Daten!$B$5:$F$99,5,FALSE)=1,"R/d","")</f>
        <v/>
      </c>
      <c r="Y14" s="184"/>
      <c r="Z14" s="188"/>
      <c r="AA14" s="239" t="str">
        <f>IF(VLOOKUP(CONCATENATE("1",Konfiguration_Configuration!$N$6),Daten!$B$5:$F$99,5,FALSE)=1,"R/d","")</f>
        <v/>
      </c>
      <c r="AB14" s="184"/>
      <c r="AC14" s="188"/>
      <c r="AD14" s="239" t="str">
        <f>IF(VLOOKUP(CONCATENATE("1",Konfiguration_Configuration!$N$6),Daten!$B$5:$F$99,5,FALSE)=1,"R/d","")</f>
        <v/>
      </c>
      <c r="AE14" s="184"/>
      <c r="AF14" s="188"/>
      <c r="AG14" s="239" t="str">
        <f>IF(VLOOKUP(CONCATENATE("1",Konfiguration_Configuration!$N$6),Daten!$B$5:$F$99,5,FALSE)=1,"R/d","")</f>
        <v/>
      </c>
      <c r="AH14" s="184"/>
      <c r="AI14" s="188"/>
      <c r="AJ14" s="168">
        <f>VLOOKUP(CONCATENATE("1",Konfiguration_Configuration!$N$6),Daten!$B$5:$E$99,3,FALSE)</f>
        <v>1</v>
      </c>
      <c r="AK14" s="137" t="s">
        <v>244</v>
      </c>
      <c r="AL14" s="239" t="str">
        <f>IF(VLOOKUP(CONCATENATE("1",Konfiguration_Configuration!$N$6),Daten!$B$5:$F$99,5,FALSE)=1,"R/d","")</f>
        <v/>
      </c>
      <c r="AM14" s="184"/>
      <c r="AN14" s="188"/>
      <c r="AO14" s="239" t="str">
        <f>IF(VLOOKUP(CONCATENATE("1",Konfiguration_Configuration!$N$6),Daten!$B$5:$F$99,5,FALSE)=1,"R/d","")</f>
        <v/>
      </c>
      <c r="AP14" s="184"/>
      <c r="AQ14" s="188"/>
      <c r="AR14" s="239" t="str">
        <f>IF(VLOOKUP(CONCATENATE("1",Konfiguration_Configuration!$N$6),Daten!$B$5:$F$99,5,FALSE)=1,"R/d","")</f>
        <v/>
      </c>
      <c r="AS14" s="184"/>
      <c r="AT14" s="188"/>
      <c r="AU14" s="239" t="str">
        <f>IF(VLOOKUP(CONCATENATE("1",Konfiguration_Configuration!$N$6),Daten!$B$5:$F$99,5,FALSE)=1,"R/d","")</f>
        <v/>
      </c>
      <c r="AV14" s="184"/>
      <c r="AW14" s="188"/>
      <c r="AX14" s="239" t="str">
        <f>IF(VLOOKUP(CONCATENATE("1",Konfiguration_Configuration!$N$6),Daten!$B$5:$F$99,5,FALSE)=1,"R/d","")</f>
        <v/>
      </c>
      <c r="AY14" s="184"/>
      <c r="AZ14" s="188"/>
      <c r="BA14" s="168">
        <f>VLOOKUP(CONCATENATE("1",Konfiguration_Configuration!$N$6),Daten!$B$5:$E$99,3,FALSE)</f>
        <v>1</v>
      </c>
      <c r="BB14" s="137" t="s">
        <v>244</v>
      </c>
      <c r="BC14" s="239" t="str">
        <f>IF(VLOOKUP(CONCATENATE("1",Konfiguration_Configuration!$N$6),Daten!$B$5:$F$99,5,FALSE)=1,"R/d","")</f>
        <v/>
      </c>
      <c r="BD14" s="184"/>
      <c r="BE14" s="188"/>
      <c r="BF14" s="239" t="str">
        <f>IF(VLOOKUP(CONCATENATE("1",Konfiguration_Configuration!$N$6),Daten!$B$5:$F$99,5,FALSE)=1,"R/d","")</f>
        <v/>
      </c>
      <c r="BG14" s="184"/>
      <c r="BH14" s="188"/>
      <c r="BI14" s="239" t="str">
        <f>IF(VLOOKUP(CONCATENATE("1",Konfiguration_Configuration!$N$6),Daten!$B$5:$F$99,5,FALSE)=1,"R/d","")</f>
        <v/>
      </c>
      <c r="BJ14" s="184"/>
      <c r="BK14" s="188"/>
      <c r="BL14" s="239" t="str">
        <f>IF(VLOOKUP(CONCATENATE("1",Konfiguration_Configuration!$N$6),Daten!$B$5:$F$99,5,FALSE)=1,"R/d","")</f>
        <v/>
      </c>
      <c r="BM14" s="184"/>
      <c r="BN14" s="188"/>
      <c r="BO14" s="239" t="str">
        <f>IF(VLOOKUP(CONCATENATE("1",Konfiguration_Configuration!$N$6),Daten!$B$5:$F$99,5,FALSE)=1,"R/d","")</f>
        <v/>
      </c>
      <c r="BP14" s="184"/>
      <c r="BQ14" s="188"/>
    </row>
    <row r="15" spans="1:73" ht="32.1" customHeight="1">
      <c r="A15" s="371" t="str">
        <f>VLOOKUP(CONCATENATE("1",Konfiguration_Configuration!$N$6),Daten!$B$5:$E$99,2,FALSE)</f>
        <v>v Übersetzen</v>
      </c>
      <c r="B15" s="169"/>
      <c r="C15" s="138"/>
      <c r="D15" s="232" t="str">
        <f>IF(VLOOKUP(CONCATENATE("1",Konfiguration_Configuration!$N$6),Daten!$B$5:$F$99,5,FALSE)=1,"L/g","")</f>
        <v/>
      </c>
      <c r="E15" s="185"/>
      <c r="F15" s="187" t="str">
        <f>IF(E14="","",MAX(E14,E15,E16)/10*$B$14+$B$14)</f>
        <v/>
      </c>
      <c r="G15" s="232" t="str">
        <f>IF(VLOOKUP(CONCATENATE("1",Konfiguration_Configuration!$N$6),Daten!$B$5:$F$99,5,FALSE)=1,"L/g","")</f>
        <v/>
      </c>
      <c r="H15" s="185"/>
      <c r="I15" s="187" t="str">
        <f>IF(H14="","",MAX(H14,H15,H16)/10*$B$14+$B$14)</f>
        <v/>
      </c>
      <c r="J15" s="232" t="str">
        <f>IF(VLOOKUP(CONCATENATE("1",Konfiguration_Configuration!$N$6),Daten!$B$5:$F$99,5,FALSE)=1,"L/g","")</f>
        <v/>
      </c>
      <c r="K15" s="185"/>
      <c r="L15" s="187" t="str">
        <f>IF(K14="","",MAX(K14,K15,K16)/10*$B$14+$B$14)</f>
        <v/>
      </c>
      <c r="M15" s="232" t="str">
        <f>IF(VLOOKUP(CONCATENATE("1",Konfiguration_Configuration!$N$6),Daten!$B$5:$F$99,5,FALSE)=1,"L/g","")</f>
        <v/>
      </c>
      <c r="N15" s="185"/>
      <c r="O15" s="187" t="str">
        <f>IF(N14="","",MAX(N14,N15,N16)/10*$B$14+$B$14)</f>
        <v/>
      </c>
      <c r="P15" s="232" t="str">
        <f>IF(VLOOKUP(CONCATENATE("1",Konfiguration_Configuration!$N$6),Daten!$B$5:$F$99,5,FALSE)=1,"L/g","")</f>
        <v/>
      </c>
      <c r="Q15" s="185"/>
      <c r="R15" s="187" t="str">
        <f>IF(Q14="","",MAX(Q14,Q15,Q16)/10*$B$14+$B$14)</f>
        <v/>
      </c>
      <c r="S15" s="169"/>
      <c r="T15" s="138"/>
      <c r="U15" s="232" t="str">
        <f>IF(VLOOKUP(CONCATENATE("1",Konfiguration_Configuration!$N$6),Daten!$B$5:$F$99,5,FALSE)=1,"L/g","")</f>
        <v/>
      </c>
      <c r="V15" s="185"/>
      <c r="W15" s="187" t="str">
        <f>IF(V14="","",MAX(V14,V15,V16)/10*$B$14+$B$14)</f>
        <v/>
      </c>
      <c r="X15" s="232" t="str">
        <f>IF(VLOOKUP(CONCATENATE("1",Konfiguration_Configuration!$N$6),Daten!$B$5:$F$99,5,FALSE)=1,"L/g","")</f>
        <v/>
      </c>
      <c r="Y15" s="185"/>
      <c r="Z15" s="187" t="str">
        <f>IF(Y14="","",MAX(Y14,Y15,Y16)/10*$B$14+$B$14)</f>
        <v/>
      </c>
      <c r="AA15" s="232" t="str">
        <f>IF(VLOOKUP(CONCATENATE("1",Konfiguration_Configuration!$N$6),Daten!$B$5:$F$99,5,FALSE)=1,"L/g","")</f>
        <v/>
      </c>
      <c r="AB15" s="185"/>
      <c r="AC15" s="187" t="str">
        <f>IF(AB14="","",MAX(AB14,AB15,AB16)/10*$B$14+$B$14)</f>
        <v/>
      </c>
      <c r="AD15" s="232" t="str">
        <f>IF(VLOOKUP(CONCATENATE("1",Konfiguration_Configuration!$N$6),Daten!$B$5:$F$99,5,FALSE)=1,"L/g","")</f>
        <v/>
      </c>
      <c r="AE15" s="185"/>
      <c r="AF15" s="187" t="str">
        <f>IF(AE14="","",MAX(AE14,AE15,AE16)/10*$B$14+$B$14)</f>
        <v/>
      </c>
      <c r="AG15" s="232" t="str">
        <f>IF(VLOOKUP(CONCATENATE("1",Konfiguration_Configuration!$N$6),Daten!$B$5:$F$99,5,FALSE)=1,"L/g","")</f>
        <v/>
      </c>
      <c r="AH15" s="185"/>
      <c r="AI15" s="187" t="str">
        <f>IF(AH14="","",MAX(AH14,AH15,AH16)/10*$B$14+$B$14)</f>
        <v/>
      </c>
      <c r="AJ15" s="169"/>
      <c r="AK15" s="138"/>
      <c r="AL15" s="232" t="str">
        <f>IF(VLOOKUP(CONCATENATE("1",Konfiguration_Configuration!$N$6),Daten!$B$5:$F$99,5,FALSE)=1,"L/g","")</f>
        <v/>
      </c>
      <c r="AM15" s="185"/>
      <c r="AN15" s="187" t="str">
        <f>IF(AM14="","",MAX(AM14,AM15,AM16)/10*$B$14+$B$14)</f>
        <v/>
      </c>
      <c r="AO15" s="232" t="str">
        <f>IF(VLOOKUP(CONCATENATE("1",Konfiguration_Configuration!$N$6),Daten!$B$5:$F$99,5,FALSE)=1,"L/g","")</f>
        <v/>
      </c>
      <c r="AP15" s="185"/>
      <c r="AQ15" s="187" t="str">
        <f>IF(AP14="","",MAX(AP14,AP15,AP16)/10*$B$14+$B$14)</f>
        <v/>
      </c>
      <c r="AR15" s="232" t="str">
        <f>IF(VLOOKUP(CONCATENATE("1",Konfiguration_Configuration!$N$6),Daten!$B$5:$F$99,5,FALSE)=1,"L/g","")</f>
        <v/>
      </c>
      <c r="AS15" s="185"/>
      <c r="AT15" s="187" t="str">
        <f>IF(AS14="","",MAX(AS14,AS15,AS16)/10*$B$14+$B$14)</f>
        <v/>
      </c>
      <c r="AU15" s="232" t="str">
        <f>IF(VLOOKUP(CONCATENATE("1",Konfiguration_Configuration!$N$6),Daten!$B$5:$F$99,5,FALSE)=1,"L/g","")</f>
        <v/>
      </c>
      <c r="AV15" s="185"/>
      <c r="AW15" s="187" t="str">
        <f>IF(AV14="","",MAX(AV14,AV15,AV16)/10*$B$14+$B$14)</f>
        <v/>
      </c>
      <c r="AX15" s="232" t="str">
        <f>IF(VLOOKUP(CONCATENATE("1",Konfiguration_Configuration!$N$6),Daten!$B$5:$F$99,5,FALSE)=1,"L/g","")</f>
        <v/>
      </c>
      <c r="AY15" s="185"/>
      <c r="AZ15" s="187" t="str">
        <f>IF(AY14="","",MAX(AY14,AY15,AY16)/10*$B$14+$B$14)</f>
        <v/>
      </c>
      <c r="BA15" s="169"/>
      <c r="BB15" s="138"/>
      <c r="BC15" s="232" t="str">
        <f>IF(VLOOKUP(CONCATENATE("1",Konfiguration_Configuration!$N$6),Daten!$B$5:$F$99,5,FALSE)=1,"L/g","")</f>
        <v/>
      </c>
      <c r="BD15" s="185"/>
      <c r="BE15" s="187" t="str">
        <f>IF(BD14="","",MAX(BD14,BD15,BD16)/10*$B$14+$B$14)</f>
        <v/>
      </c>
      <c r="BF15" s="232" t="str">
        <f>IF(VLOOKUP(CONCATENATE("1",Konfiguration_Configuration!$N$6),Daten!$B$5:$F$99,5,FALSE)=1,"L/g","")</f>
        <v/>
      </c>
      <c r="BG15" s="185"/>
      <c r="BH15" s="187" t="str">
        <f>IF(BG14="","",MAX(BG14,BG15,BG16)/10*$B$14+$B$14)</f>
        <v/>
      </c>
      <c r="BI15" s="232" t="str">
        <f>IF(VLOOKUP(CONCATENATE("1",Konfiguration_Configuration!$N$6),Daten!$B$5:$F$99,5,FALSE)=1,"L/g","")</f>
        <v/>
      </c>
      <c r="BJ15" s="185"/>
      <c r="BK15" s="187" t="str">
        <f>IF(BJ14="","",MAX(BJ14,BJ15,BJ16)/10*$B$14+$B$14)</f>
        <v/>
      </c>
      <c r="BL15" s="232" t="str">
        <f>IF(VLOOKUP(CONCATENATE("1",Konfiguration_Configuration!$N$6),Daten!$B$5:$F$99,5,FALSE)=1,"L/g","")</f>
        <v/>
      </c>
      <c r="BM15" s="185"/>
      <c r="BN15" s="187" t="str">
        <f>IF(BM14="","",MAX(BM14,BM15,BM16)/10*$B$14+$B$14)</f>
        <v/>
      </c>
      <c r="BO15" s="232" t="str">
        <f>IF(VLOOKUP(CONCATENATE("1",Konfiguration_Configuration!$N$6),Daten!$B$5:$F$99,5,FALSE)=1,"L/g","")</f>
        <v/>
      </c>
      <c r="BP15" s="185"/>
      <c r="BQ15" s="187" t="str">
        <f>IF(BP14="","",MAX(BP14,BP15,BP16)/10*$B$14+$B$14)</f>
        <v/>
      </c>
    </row>
    <row r="16" spans="1:73" ht="32.1" customHeight="1">
      <c r="A16" s="372"/>
      <c r="B16" s="170"/>
      <c r="C16" s="138" t="s">
        <v>245</v>
      </c>
      <c r="D16" s="135"/>
      <c r="E16" s="186"/>
      <c r="F16" s="189"/>
      <c r="G16" s="135"/>
      <c r="H16" s="186"/>
      <c r="I16" s="189"/>
      <c r="J16" s="135"/>
      <c r="K16" s="186"/>
      <c r="L16" s="189"/>
      <c r="M16" s="135"/>
      <c r="N16" s="186"/>
      <c r="O16" s="189"/>
      <c r="P16" s="135"/>
      <c r="Q16" s="186"/>
      <c r="R16" s="189"/>
      <c r="S16" s="170"/>
      <c r="T16" s="138" t="s">
        <v>245</v>
      </c>
      <c r="U16" s="135"/>
      <c r="V16" s="186"/>
      <c r="W16" s="189"/>
      <c r="X16" s="135"/>
      <c r="Y16" s="186"/>
      <c r="Z16" s="189"/>
      <c r="AA16" s="135"/>
      <c r="AB16" s="186"/>
      <c r="AC16" s="189"/>
      <c r="AD16" s="135"/>
      <c r="AE16" s="186"/>
      <c r="AF16" s="189"/>
      <c r="AG16" s="135"/>
      <c r="AH16" s="186"/>
      <c r="AI16" s="189"/>
      <c r="AJ16" s="170"/>
      <c r="AK16" s="138" t="s">
        <v>245</v>
      </c>
      <c r="AL16" s="135"/>
      <c r="AM16" s="186"/>
      <c r="AN16" s="189"/>
      <c r="AO16" s="135"/>
      <c r="AP16" s="186"/>
      <c r="AQ16" s="189"/>
      <c r="AR16" s="135"/>
      <c r="AS16" s="186"/>
      <c r="AT16" s="189"/>
      <c r="AU16" s="135"/>
      <c r="AV16" s="186"/>
      <c r="AW16" s="189"/>
      <c r="AX16" s="135"/>
      <c r="AY16" s="186"/>
      <c r="AZ16" s="189"/>
      <c r="BA16" s="170"/>
      <c r="BB16" s="138" t="s">
        <v>245</v>
      </c>
      <c r="BC16" s="135"/>
      <c r="BD16" s="186"/>
      <c r="BE16" s="189"/>
      <c r="BF16" s="135"/>
      <c r="BG16" s="186"/>
      <c r="BH16" s="189"/>
      <c r="BI16" s="135"/>
      <c r="BJ16" s="186"/>
      <c r="BK16" s="189"/>
      <c r="BL16" s="135"/>
      <c r="BM16" s="186"/>
      <c r="BN16" s="189"/>
      <c r="BO16" s="135"/>
      <c r="BP16" s="186"/>
      <c r="BQ16" s="189"/>
    </row>
    <row r="17" spans="1:72" ht="32.1" customHeight="1">
      <c r="A17" s="136" t="str">
        <f>CONCATENATE(LEFT(A$13,LEN(A$13)-1)," 2:")</f>
        <v>Element 2:</v>
      </c>
      <c r="B17" s="168">
        <f>VLOOKUP(CONCATENATE("2",Konfiguration_Configuration!$N$6),Daten!$B$5:$E$99,3,FALSE)</f>
        <v>1</v>
      </c>
      <c r="C17" s="137" t="s">
        <v>244</v>
      </c>
      <c r="D17" s="239" t="str">
        <f>IF(VLOOKUP(CONCATENATE("2",Konfiguration_Configuration!$N$6),Daten!$B$5:$F$99,5,FALSE)=1,"R/d","")</f>
        <v/>
      </c>
      <c r="E17" s="186"/>
      <c r="F17" s="190"/>
      <c r="G17" s="239" t="str">
        <f>IF(VLOOKUP(CONCATENATE("2",Konfiguration_Configuration!$N$6),Daten!$B$5:$F$99,5,FALSE)=1,"R/d","")</f>
        <v/>
      </c>
      <c r="H17" s="186"/>
      <c r="I17" s="190"/>
      <c r="J17" s="239" t="str">
        <f>IF(VLOOKUP(CONCATENATE("2",Konfiguration_Configuration!$N$6),Daten!$B$5:$F$99,5,FALSE)=1,"R/d","")</f>
        <v/>
      </c>
      <c r="K17" s="186"/>
      <c r="L17" s="190"/>
      <c r="M17" s="239" t="str">
        <f>IF(VLOOKUP(CONCATENATE("2",Konfiguration_Configuration!$N$6),Daten!$B$5:$F$99,5,FALSE)=1,"R/d","")</f>
        <v/>
      </c>
      <c r="N17" s="186"/>
      <c r="O17" s="190"/>
      <c r="P17" s="239" t="str">
        <f>IF(VLOOKUP(CONCATENATE("2",Konfiguration_Configuration!$N$6),Daten!$B$5:$F$99,5,FALSE)=1,"R/d","")</f>
        <v/>
      </c>
      <c r="Q17" s="186"/>
      <c r="R17" s="190"/>
      <c r="S17" s="168">
        <f>VLOOKUP(CONCATENATE("2",Konfiguration_Configuration!$N$6),Daten!$B$5:$E$99,3,FALSE)</f>
        <v>1</v>
      </c>
      <c r="T17" s="137" t="s">
        <v>244</v>
      </c>
      <c r="U17" s="239" t="str">
        <f>IF(VLOOKUP(CONCATENATE("2",Konfiguration_Configuration!$N$6),Daten!$B$5:$F$99,5,FALSE)=1,"R/d","")</f>
        <v/>
      </c>
      <c r="V17" s="186"/>
      <c r="W17" s="190"/>
      <c r="X17" s="239" t="str">
        <f>IF(VLOOKUP(CONCATENATE("2",Konfiguration_Configuration!$N$6),Daten!$B$5:$F$99,5,FALSE)=1,"R/d","")</f>
        <v/>
      </c>
      <c r="Y17" s="186"/>
      <c r="Z17" s="190"/>
      <c r="AA17" s="239" t="str">
        <f>IF(VLOOKUP(CONCATENATE("2",Konfiguration_Configuration!$N$6),Daten!$B$5:$F$99,5,FALSE)=1,"R/d","")</f>
        <v/>
      </c>
      <c r="AB17" s="186"/>
      <c r="AC17" s="190"/>
      <c r="AD17" s="239" t="str">
        <f>IF(VLOOKUP(CONCATENATE("2",Konfiguration_Configuration!$N$6),Daten!$B$5:$F$99,5,FALSE)=1,"R/d","")</f>
        <v/>
      </c>
      <c r="AE17" s="186"/>
      <c r="AF17" s="190"/>
      <c r="AG17" s="239" t="str">
        <f>IF(VLOOKUP(CONCATENATE("2",Konfiguration_Configuration!$N$6),Daten!$B$5:$F$99,5,FALSE)=1,"R/d","")</f>
        <v/>
      </c>
      <c r="AH17" s="186"/>
      <c r="AI17" s="190"/>
      <c r="AJ17" s="168">
        <f>VLOOKUP(CONCATENATE("2",Konfiguration_Configuration!$N$6),Daten!$B$5:$E$99,3,FALSE)</f>
        <v>1</v>
      </c>
      <c r="AK17" s="137" t="s">
        <v>244</v>
      </c>
      <c r="AL17" s="239" t="str">
        <f>IF(VLOOKUP(CONCATENATE("2",Konfiguration_Configuration!$N$6),Daten!$B$5:$F$99,5,FALSE)=1,"R/d","")</f>
        <v/>
      </c>
      <c r="AM17" s="186"/>
      <c r="AN17" s="190"/>
      <c r="AO17" s="239" t="str">
        <f>IF(VLOOKUP(CONCATENATE("2",Konfiguration_Configuration!$N$6),Daten!$B$5:$F$99,5,FALSE)=1,"R/d","")</f>
        <v/>
      </c>
      <c r="AP17" s="186"/>
      <c r="AQ17" s="190"/>
      <c r="AR17" s="239" t="str">
        <f>IF(VLOOKUP(CONCATENATE("2",Konfiguration_Configuration!$N$6),Daten!$B$5:$F$99,5,FALSE)=1,"R/d","")</f>
        <v/>
      </c>
      <c r="AS17" s="186"/>
      <c r="AT17" s="190"/>
      <c r="AU17" s="239" t="str">
        <f>IF(VLOOKUP(CONCATENATE("2",Konfiguration_Configuration!$N$6),Daten!$B$5:$F$99,5,FALSE)=1,"R/d","")</f>
        <v/>
      </c>
      <c r="AV17" s="186"/>
      <c r="AW17" s="190"/>
      <c r="AX17" s="239" t="str">
        <f>IF(VLOOKUP(CONCATENATE("2",Konfiguration_Configuration!$N$6),Daten!$B$5:$F$99,5,FALSE)=1,"R/d","")</f>
        <v/>
      </c>
      <c r="AY17" s="186"/>
      <c r="AZ17" s="190"/>
      <c r="BA17" s="168">
        <f>VLOOKUP(CONCATENATE("2",Konfiguration_Configuration!$N$6),Daten!$B$5:$E$99,3,FALSE)</f>
        <v>1</v>
      </c>
      <c r="BB17" s="137" t="s">
        <v>244</v>
      </c>
      <c r="BC17" s="239" t="str">
        <f>IF(VLOOKUP(CONCATENATE("2",Konfiguration_Configuration!$N$6),Daten!$B$5:$F$99,5,FALSE)=1,"R/d","")</f>
        <v/>
      </c>
      <c r="BD17" s="186"/>
      <c r="BE17" s="190"/>
      <c r="BF17" s="239" t="str">
        <f>IF(VLOOKUP(CONCATENATE("2",Konfiguration_Configuration!$N$6),Daten!$B$5:$F$99,5,FALSE)=1,"R/d","")</f>
        <v/>
      </c>
      <c r="BG17" s="186"/>
      <c r="BH17" s="190"/>
      <c r="BI17" s="239" t="str">
        <f>IF(VLOOKUP(CONCATENATE("2",Konfiguration_Configuration!$N$6),Daten!$B$5:$F$99,5,FALSE)=1,"R/d","")</f>
        <v/>
      </c>
      <c r="BJ17" s="186"/>
      <c r="BK17" s="190"/>
      <c r="BL17" s="239" t="str">
        <f>IF(VLOOKUP(CONCATENATE("2",Konfiguration_Configuration!$N$6),Daten!$B$5:$F$99,5,FALSE)=1,"R/d","")</f>
        <v/>
      </c>
      <c r="BM17" s="186"/>
      <c r="BN17" s="190"/>
      <c r="BO17" s="239" t="str">
        <f>IF(VLOOKUP(CONCATENATE("2",Konfiguration_Configuration!$N$6),Daten!$B$5:$F$99,5,FALSE)=1,"R/d","")</f>
        <v/>
      </c>
      <c r="BP17" s="186"/>
      <c r="BQ17" s="190"/>
    </row>
    <row r="18" spans="1:72" ht="32.1" customHeight="1">
      <c r="A18" s="371" t="str">
        <f>VLOOKUP(CONCATENATE("2",Konfiguration_Configuration!$N$6),Daten!$B$5:$E$99,2,FALSE)</f>
        <v>r Übersetzen</v>
      </c>
      <c r="B18" s="169"/>
      <c r="C18" s="137"/>
      <c r="D18" s="232" t="str">
        <f>IF(VLOOKUP(CONCATENATE("2",Konfiguration_Configuration!$N$6),Daten!$B$5:$F$99,5,FALSE)=1,"L/g","")</f>
        <v/>
      </c>
      <c r="E18" s="186"/>
      <c r="F18" s="187" t="str">
        <f>IF(E17="","",MAX(E17,E18,E19)/10*$B$17+$B$17)</f>
        <v/>
      </c>
      <c r="G18" s="232" t="str">
        <f>IF(VLOOKUP(CONCATENATE("2",Konfiguration_Configuration!$N$6),Daten!$B$5:$F$99,5,FALSE)=1,"L/g","")</f>
        <v/>
      </c>
      <c r="H18" s="186"/>
      <c r="I18" s="187" t="str">
        <f>IF(H17="","",MAX(H17,H18,H19)/10*$B$17+$B$17)</f>
        <v/>
      </c>
      <c r="J18" s="232" t="str">
        <f>IF(VLOOKUP(CONCATENATE("2",Konfiguration_Configuration!$N$6),Daten!$B$5:$F$99,5,FALSE)=1,"L/g","")</f>
        <v/>
      </c>
      <c r="K18" s="186"/>
      <c r="L18" s="187" t="str">
        <f>IF(K17="","",MAX(K17,K18,K19)/10*$B$17+$B$17)</f>
        <v/>
      </c>
      <c r="M18" s="232" t="str">
        <f>IF(VLOOKUP(CONCATENATE("2",Konfiguration_Configuration!$N$6),Daten!$B$5:$F$99,5,FALSE)=1,"L/g","")</f>
        <v/>
      </c>
      <c r="N18" s="186"/>
      <c r="O18" s="187" t="str">
        <f>IF(N17="","",MAX(N17,N18,N19)/10*$B$17+$B$17)</f>
        <v/>
      </c>
      <c r="P18" s="232" t="str">
        <f>IF(VLOOKUP(CONCATENATE("2",Konfiguration_Configuration!$N$6),Daten!$B$5:$F$99,5,FALSE)=1,"L/g","")</f>
        <v/>
      </c>
      <c r="Q18" s="186"/>
      <c r="R18" s="187" t="str">
        <f>IF(Q17="","",MAX(Q17,Q18,Q19)/10*$B$17+$B$17)</f>
        <v/>
      </c>
      <c r="S18" s="169"/>
      <c r="T18" s="137"/>
      <c r="U18" s="232" t="str">
        <f>IF(VLOOKUP(CONCATENATE("2",Konfiguration_Configuration!$N$6),Daten!$B$5:$F$99,5,FALSE)=1,"L/g","")</f>
        <v/>
      </c>
      <c r="V18" s="186"/>
      <c r="W18" s="187" t="str">
        <f>IF(V17="","",MAX(V17,V18,V19)/10*$B$17+$B$17)</f>
        <v/>
      </c>
      <c r="X18" s="232" t="str">
        <f>IF(VLOOKUP(CONCATENATE("2",Konfiguration_Configuration!$N$6),Daten!$B$5:$F$99,5,FALSE)=1,"L/g","")</f>
        <v/>
      </c>
      <c r="Y18" s="186"/>
      <c r="Z18" s="187" t="str">
        <f>IF(Y17="","",MAX(Y17,Y18,Y19)/10*$B$17+$B$17)</f>
        <v/>
      </c>
      <c r="AA18" s="232" t="str">
        <f>IF(VLOOKUP(CONCATENATE("2",Konfiguration_Configuration!$N$6),Daten!$B$5:$F$99,5,FALSE)=1,"L/g","")</f>
        <v/>
      </c>
      <c r="AB18" s="186"/>
      <c r="AC18" s="187" t="str">
        <f>IF(AB17="","",MAX(AB17,AB18,AB19)/10*$B$17+$B$17)</f>
        <v/>
      </c>
      <c r="AD18" s="232" t="str">
        <f>IF(VLOOKUP(CONCATENATE("2",Konfiguration_Configuration!$N$6),Daten!$B$5:$F$99,5,FALSE)=1,"L/g","")</f>
        <v/>
      </c>
      <c r="AE18" s="186"/>
      <c r="AF18" s="187" t="str">
        <f>IF(AE17="","",MAX(AE17,AE18,AE19)/10*$B$17+$B$17)</f>
        <v/>
      </c>
      <c r="AG18" s="232" t="str">
        <f>IF(VLOOKUP(CONCATENATE("2",Konfiguration_Configuration!$N$6),Daten!$B$5:$F$99,5,FALSE)=1,"L/g","")</f>
        <v/>
      </c>
      <c r="AH18" s="186"/>
      <c r="AI18" s="187" t="str">
        <f>IF(AH17="","",MAX(AH17,AH18,AH19)/10*$B$17+$B$17)</f>
        <v/>
      </c>
      <c r="AJ18" s="169"/>
      <c r="AK18" s="137"/>
      <c r="AL18" s="232" t="str">
        <f>IF(VLOOKUP(CONCATENATE("2",Konfiguration_Configuration!$N$6),Daten!$B$5:$F$99,5,FALSE)=1,"L/g","")</f>
        <v/>
      </c>
      <c r="AM18" s="186"/>
      <c r="AN18" s="187" t="str">
        <f>IF(AM17="","",MAX(AM17,AM18,AM19)/10*$B$17+$B$17)</f>
        <v/>
      </c>
      <c r="AO18" s="232" t="str">
        <f>IF(VLOOKUP(CONCATENATE("2",Konfiguration_Configuration!$N$6),Daten!$B$5:$F$99,5,FALSE)=1,"L/g","")</f>
        <v/>
      </c>
      <c r="AP18" s="186"/>
      <c r="AQ18" s="187" t="str">
        <f>IF(AP17="","",MAX(AP17,AP18,AP19)/10*$B$17+$B$17)</f>
        <v/>
      </c>
      <c r="AR18" s="232" t="str">
        <f>IF(VLOOKUP(CONCATENATE("2",Konfiguration_Configuration!$N$6),Daten!$B$5:$F$99,5,FALSE)=1,"L/g","")</f>
        <v/>
      </c>
      <c r="AS18" s="186"/>
      <c r="AT18" s="187" t="str">
        <f>IF(AS17="","",MAX(AS17,AS18,AS19)/10*$B$17+$B$17)</f>
        <v/>
      </c>
      <c r="AU18" s="232" t="str">
        <f>IF(VLOOKUP(CONCATENATE("2",Konfiguration_Configuration!$N$6),Daten!$B$5:$F$99,5,FALSE)=1,"L/g","")</f>
        <v/>
      </c>
      <c r="AV18" s="186"/>
      <c r="AW18" s="187" t="str">
        <f>IF(AV17="","",MAX(AV17,AV18,AV19)/10*$B$17+$B$17)</f>
        <v/>
      </c>
      <c r="AX18" s="232" t="str">
        <f>IF(VLOOKUP(CONCATENATE("2",Konfiguration_Configuration!$N$6),Daten!$B$5:$F$99,5,FALSE)=1,"L/g","")</f>
        <v/>
      </c>
      <c r="AY18" s="186"/>
      <c r="AZ18" s="187" t="str">
        <f>IF(AY17="","",MAX(AY17,AY18,AY19)/10*$B$17+$B$17)</f>
        <v/>
      </c>
      <c r="BA18" s="169"/>
      <c r="BB18" s="137"/>
      <c r="BC18" s="232" t="str">
        <f>IF(VLOOKUP(CONCATENATE("2",Konfiguration_Configuration!$N$6),Daten!$B$5:$F$99,5,FALSE)=1,"L/g","")</f>
        <v/>
      </c>
      <c r="BD18" s="186"/>
      <c r="BE18" s="187" t="str">
        <f>IF(BD17="","",MAX(BD17,BD18,BD19)/10*$B$17+$B$17)</f>
        <v/>
      </c>
      <c r="BF18" s="232" t="str">
        <f>IF(VLOOKUP(CONCATENATE("2",Konfiguration_Configuration!$N$6),Daten!$B$5:$F$99,5,FALSE)=1,"L/g","")</f>
        <v/>
      </c>
      <c r="BG18" s="186"/>
      <c r="BH18" s="187" t="str">
        <f>IF(BG17="","",MAX(BG17,BG18,BG19)/10*$B$17+$B$17)</f>
        <v/>
      </c>
      <c r="BI18" s="232" t="str">
        <f>IF(VLOOKUP(CONCATENATE("2",Konfiguration_Configuration!$N$6),Daten!$B$5:$F$99,5,FALSE)=1,"L/g","")</f>
        <v/>
      </c>
      <c r="BJ18" s="186"/>
      <c r="BK18" s="187" t="str">
        <f>IF(BJ17="","",MAX(BJ17,BJ18,BJ19)/10*$B$17+$B$17)</f>
        <v/>
      </c>
      <c r="BL18" s="232" t="str">
        <f>IF(VLOOKUP(CONCATENATE("2",Konfiguration_Configuration!$N$6),Daten!$B$5:$F$99,5,FALSE)=1,"L/g","")</f>
        <v/>
      </c>
      <c r="BM18" s="186"/>
      <c r="BN18" s="187" t="str">
        <f>IF(BM17="","",MAX(BM17,BM18,BM19)/10*$B$17+$B$17)</f>
        <v/>
      </c>
      <c r="BO18" s="232" t="str">
        <f>IF(VLOOKUP(CONCATENATE("2",Konfiguration_Configuration!$N$6),Daten!$B$5:$F$99,5,FALSE)=1,"L/g","")</f>
        <v/>
      </c>
      <c r="BP18" s="186"/>
      <c r="BQ18" s="187" t="str">
        <f>IF(BP17="","",MAX(BP17,BP18,BP19)/10*$B$17+$B$17)</f>
        <v/>
      </c>
    </row>
    <row r="19" spans="1:72" ht="32.1" customHeight="1">
      <c r="A19" s="372"/>
      <c r="B19" s="170"/>
      <c r="C19" s="137" t="s">
        <v>245</v>
      </c>
      <c r="D19" s="135"/>
      <c r="E19" s="186"/>
      <c r="F19" s="191"/>
      <c r="G19" s="135"/>
      <c r="H19" s="186"/>
      <c r="I19" s="191"/>
      <c r="J19" s="135"/>
      <c r="K19" s="186"/>
      <c r="L19" s="191"/>
      <c r="M19" s="135"/>
      <c r="N19" s="186"/>
      <c r="O19" s="191"/>
      <c r="P19" s="135"/>
      <c r="Q19" s="186"/>
      <c r="R19" s="191"/>
      <c r="S19" s="170"/>
      <c r="T19" s="137" t="s">
        <v>245</v>
      </c>
      <c r="U19" s="135"/>
      <c r="V19" s="186"/>
      <c r="W19" s="191"/>
      <c r="X19" s="135"/>
      <c r="Y19" s="186"/>
      <c r="Z19" s="191"/>
      <c r="AA19" s="135"/>
      <c r="AB19" s="186"/>
      <c r="AC19" s="191"/>
      <c r="AD19" s="135"/>
      <c r="AE19" s="186"/>
      <c r="AF19" s="191"/>
      <c r="AG19" s="135"/>
      <c r="AH19" s="186"/>
      <c r="AI19" s="191"/>
      <c r="AJ19" s="170"/>
      <c r="AK19" s="137" t="s">
        <v>245</v>
      </c>
      <c r="AL19" s="135"/>
      <c r="AM19" s="186"/>
      <c r="AN19" s="191"/>
      <c r="AO19" s="135"/>
      <c r="AP19" s="186"/>
      <c r="AQ19" s="191"/>
      <c r="AR19" s="135"/>
      <c r="AS19" s="186"/>
      <c r="AT19" s="191"/>
      <c r="AU19" s="135"/>
      <c r="AV19" s="186"/>
      <c r="AW19" s="191"/>
      <c r="AX19" s="135"/>
      <c r="AY19" s="186"/>
      <c r="AZ19" s="191"/>
      <c r="BA19" s="170"/>
      <c r="BB19" s="137" t="s">
        <v>245</v>
      </c>
      <c r="BC19" s="135"/>
      <c r="BD19" s="186"/>
      <c r="BE19" s="191"/>
      <c r="BF19" s="135"/>
      <c r="BG19" s="186"/>
      <c r="BH19" s="191"/>
      <c r="BI19" s="135"/>
      <c r="BJ19" s="186"/>
      <c r="BK19" s="191"/>
      <c r="BL19" s="135"/>
      <c r="BM19" s="186"/>
      <c r="BN19" s="191"/>
      <c r="BO19" s="135"/>
      <c r="BP19" s="186"/>
      <c r="BQ19" s="191"/>
    </row>
    <row r="20" spans="1:72" ht="32.1" customHeight="1">
      <c r="A20" s="136" t="str">
        <f>CONCATENATE(LEFT(A$13,LEN(A$13)-1)," 3:")</f>
        <v>Element 3:</v>
      </c>
      <c r="B20" s="168">
        <f>VLOOKUP(CONCATENATE("3",Konfiguration_Configuration!$N$6),Daten!$B$5:$E$99,3,FALSE)</f>
        <v>1</v>
      </c>
      <c r="C20" s="137" t="s">
        <v>244</v>
      </c>
      <c r="D20" s="239" t="str">
        <f>IF(VLOOKUP(CONCATENATE("3",Konfiguration_Configuration!$N$6),Daten!$B$5:$F$99,5,FALSE)=1,"R/d","")</f>
        <v>R/d</v>
      </c>
      <c r="E20" s="186"/>
      <c r="F20" s="190"/>
      <c r="G20" s="239" t="str">
        <f>IF(VLOOKUP(CONCATENATE("3",Konfiguration_Configuration!$N$6),Daten!$B$5:$F$99,5,FALSE)=1,"R/d","")</f>
        <v>R/d</v>
      </c>
      <c r="H20" s="186"/>
      <c r="I20" s="190"/>
      <c r="J20" s="239" t="str">
        <f>IF(VLOOKUP(CONCATENATE("3",Konfiguration_Configuration!$N$6),Daten!$B$5:$F$99,5,FALSE)=1,"R/d","")</f>
        <v>R/d</v>
      </c>
      <c r="K20" s="186"/>
      <c r="L20" s="190"/>
      <c r="M20" s="239" t="str">
        <f>IF(VLOOKUP(CONCATENATE("3",Konfiguration_Configuration!$N$6),Daten!$B$5:$F$99,5,FALSE)=1,"R/d","")</f>
        <v>R/d</v>
      </c>
      <c r="N20" s="186"/>
      <c r="O20" s="190"/>
      <c r="P20" s="239" t="str">
        <f>IF(VLOOKUP(CONCATENATE("3",Konfiguration_Configuration!$N$6),Daten!$B$5:$F$99,5,FALSE)=1,"R/d","")</f>
        <v>R/d</v>
      </c>
      <c r="Q20" s="186"/>
      <c r="R20" s="190"/>
      <c r="S20" s="168">
        <f>VLOOKUP(CONCATENATE("3",Konfiguration_Configuration!$N$6),Daten!$B$5:$E$99,3,FALSE)</f>
        <v>1</v>
      </c>
      <c r="T20" s="137" t="s">
        <v>244</v>
      </c>
      <c r="U20" s="239" t="str">
        <f>IF(VLOOKUP(CONCATENATE("3",Konfiguration_Configuration!$N$6),Daten!$B$5:$F$99,5,FALSE)=1,"R/d","")</f>
        <v>R/d</v>
      </c>
      <c r="V20" s="186"/>
      <c r="W20" s="190"/>
      <c r="X20" s="239" t="str">
        <f>IF(VLOOKUP(CONCATENATE("3",Konfiguration_Configuration!$N$6),Daten!$B$5:$F$99,5,FALSE)=1,"R/d","")</f>
        <v>R/d</v>
      </c>
      <c r="Y20" s="186"/>
      <c r="Z20" s="190"/>
      <c r="AA20" s="239" t="str">
        <f>IF(VLOOKUP(CONCATENATE("3",Konfiguration_Configuration!$N$6),Daten!$B$5:$F$99,5,FALSE)=1,"R/d","")</f>
        <v>R/d</v>
      </c>
      <c r="AB20" s="186"/>
      <c r="AC20" s="190"/>
      <c r="AD20" s="239" t="str">
        <f>IF(VLOOKUP(CONCATENATE("3",Konfiguration_Configuration!$N$6),Daten!$B$5:$F$99,5,FALSE)=1,"R/d","")</f>
        <v>R/d</v>
      </c>
      <c r="AE20" s="186"/>
      <c r="AF20" s="190"/>
      <c r="AG20" s="239" t="str">
        <f>IF(VLOOKUP(CONCATENATE("3",Konfiguration_Configuration!$N$6),Daten!$B$5:$F$99,5,FALSE)=1,"R/d","")</f>
        <v>R/d</v>
      </c>
      <c r="AH20" s="186"/>
      <c r="AI20" s="190"/>
      <c r="AJ20" s="168">
        <f>VLOOKUP(CONCATENATE("3",Konfiguration_Configuration!$N$6),Daten!$B$5:$E$99,3,FALSE)</f>
        <v>1</v>
      </c>
      <c r="AK20" s="137" t="s">
        <v>244</v>
      </c>
      <c r="AL20" s="239" t="str">
        <f>IF(VLOOKUP(CONCATENATE("3",Konfiguration_Configuration!$N$6),Daten!$B$5:$F$99,5,FALSE)=1,"R/d","")</f>
        <v>R/d</v>
      </c>
      <c r="AM20" s="186"/>
      <c r="AN20" s="190"/>
      <c r="AO20" s="239" t="str">
        <f>IF(VLOOKUP(CONCATENATE("3",Konfiguration_Configuration!$N$6),Daten!$B$5:$F$99,5,FALSE)=1,"R/d","")</f>
        <v>R/d</v>
      </c>
      <c r="AP20" s="186"/>
      <c r="AQ20" s="190"/>
      <c r="AR20" s="239" t="str">
        <f>IF(VLOOKUP(CONCATENATE("3",Konfiguration_Configuration!$N$6),Daten!$B$5:$F$99,5,FALSE)=1,"R/d","")</f>
        <v>R/d</v>
      </c>
      <c r="AS20" s="186"/>
      <c r="AT20" s="190"/>
      <c r="AU20" s="239" t="str">
        <f>IF(VLOOKUP(CONCATENATE("3",Konfiguration_Configuration!$N$6),Daten!$B$5:$F$99,5,FALSE)=1,"R/d","")</f>
        <v>R/d</v>
      </c>
      <c r="AV20" s="186"/>
      <c r="AW20" s="190"/>
      <c r="AX20" s="239" t="str">
        <f>IF(VLOOKUP(CONCATENATE("3",Konfiguration_Configuration!$N$6),Daten!$B$5:$F$99,5,FALSE)=1,"R/d","")</f>
        <v>R/d</v>
      </c>
      <c r="AY20" s="186"/>
      <c r="AZ20" s="190"/>
      <c r="BA20" s="168">
        <f>VLOOKUP(CONCATENATE("3",Konfiguration_Configuration!$N$6),Daten!$B$5:$E$99,3,FALSE)</f>
        <v>1</v>
      </c>
      <c r="BB20" s="137" t="s">
        <v>244</v>
      </c>
      <c r="BC20" s="239" t="str">
        <f>IF(VLOOKUP(CONCATENATE("3",Konfiguration_Configuration!$N$6),Daten!$B$5:$F$99,5,FALSE)=1,"R/d","")</f>
        <v>R/d</v>
      </c>
      <c r="BD20" s="186"/>
      <c r="BE20" s="190"/>
      <c r="BF20" s="239" t="str">
        <f>IF(VLOOKUP(CONCATENATE("3",Konfiguration_Configuration!$N$6),Daten!$B$5:$F$99,5,FALSE)=1,"R/d","")</f>
        <v>R/d</v>
      </c>
      <c r="BG20" s="186"/>
      <c r="BH20" s="190"/>
      <c r="BI20" s="239" t="str">
        <f>IF(VLOOKUP(CONCATENATE("3",Konfiguration_Configuration!$N$6),Daten!$B$5:$F$99,5,FALSE)=1,"R/d","")</f>
        <v>R/d</v>
      </c>
      <c r="BJ20" s="186"/>
      <c r="BK20" s="190"/>
      <c r="BL20" s="239" t="str">
        <f>IF(VLOOKUP(CONCATENATE("3",Konfiguration_Configuration!$N$6),Daten!$B$5:$F$99,5,FALSE)=1,"R/d","")</f>
        <v>R/d</v>
      </c>
      <c r="BM20" s="186"/>
      <c r="BN20" s="190"/>
      <c r="BO20" s="239" t="str">
        <f>IF(VLOOKUP(CONCATENATE("3",Konfiguration_Configuration!$N$6),Daten!$B$5:$F$99,5,FALSE)=1,"R/d","")</f>
        <v>R/d</v>
      </c>
      <c r="BP20" s="186"/>
      <c r="BQ20" s="190"/>
    </row>
    <row r="21" spans="1:72" ht="32.1" customHeight="1">
      <c r="A21" s="371" t="str">
        <f>VLOOKUP(CONCATENATE("3",Konfiguration_Configuration!$N$6),Daten!$B$5:$E$99,2,FALSE)</f>
        <v>va Dr-re Dr</v>
      </c>
      <c r="B21" s="169"/>
      <c r="C21" s="137"/>
      <c r="D21" s="232" t="str">
        <f>IF(VLOOKUP(CONCATENATE("3",Konfiguration_Configuration!$N$6),Daten!$B$5:$F$99,5,FALSE)=1,"L/g","")</f>
        <v>L/g</v>
      </c>
      <c r="E21" s="185"/>
      <c r="F21" s="187" t="str">
        <f>IF(E20="","",MAX(E20,E21,E22)/10*$B$20+$B$20)</f>
        <v/>
      </c>
      <c r="G21" s="232" t="str">
        <f>IF(VLOOKUP(CONCATENATE("3",Konfiguration_Configuration!$N$6),Daten!$B$5:$F$99,5,FALSE)=1,"L/g","")</f>
        <v>L/g</v>
      </c>
      <c r="H21" s="185"/>
      <c r="I21" s="187" t="str">
        <f>IF(H20="","",MAX(H20,H21,H22)/10*$B$20+$B$20)</f>
        <v/>
      </c>
      <c r="J21" s="232" t="str">
        <f>IF(VLOOKUP(CONCATENATE("3",Konfiguration_Configuration!$N$6),Daten!$B$5:$F$99,5,FALSE)=1,"L/g","")</f>
        <v>L/g</v>
      </c>
      <c r="K21" s="185"/>
      <c r="L21" s="187" t="str">
        <f>IF(K20="","",MAX(K20,K21,K22)/10*$B$20+$B$20)</f>
        <v/>
      </c>
      <c r="M21" s="232" t="str">
        <f>IF(VLOOKUP(CONCATENATE("3",Konfiguration_Configuration!$N$6),Daten!$B$5:$F$99,5,FALSE)=1,"L/g","")</f>
        <v>L/g</v>
      </c>
      <c r="N21" s="185"/>
      <c r="O21" s="187" t="str">
        <f>IF(N20="","",MAX(N20,N21,N22)/10*$B$20+$B$20)</f>
        <v/>
      </c>
      <c r="P21" s="232" t="str">
        <f>IF(VLOOKUP(CONCATENATE("3",Konfiguration_Configuration!$N$6),Daten!$B$5:$F$99,5,FALSE)=1,"L/g","")</f>
        <v>L/g</v>
      </c>
      <c r="Q21" s="185"/>
      <c r="R21" s="187" t="str">
        <f>IF(Q20="","",MAX(Q20,Q21,Q22)/10*$B$20+$B$20)</f>
        <v/>
      </c>
      <c r="S21" s="169"/>
      <c r="T21" s="137"/>
      <c r="U21" s="232" t="str">
        <f>IF(VLOOKUP(CONCATENATE("3",Konfiguration_Configuration!$N$6),Daten!$B$5:$F$99,5,FALSE)=1,"L/g","")</f>
        <v>L/g</v>
      </c>
      <c r="V21" s="185"/>
      <c r="W21" s="187" t="str">
        <f>IF(V20="","",MAX(V20,V21,V22)/10*$B$20+$B$20)</f>
        <v/>
      </c>
      <c r="X21" s="232" t="str">
        <f>IF(VLOOKUP(CONCATENATE("3",Konfiguration_Configuration!$N$6),Daten!$B$5:$F$99,5,FALSE)=1,"L/g","")</f>
        <v>L/g</v>
      </c>
      <c r="Y21" s="185"/>
      <c r="Z21" s="187" t="str">
        <f>IF(Y20="","",MAX(Y20,Y21,Y22)/10*$B$20+$B$20)</f>
        <v/>
      </c>
      <c r="AA21" s="232" t="str">
        <f>IF(VLOOKUP(CONCATENATE("3",Konfiguration_Configuration!$N$6),Daten!$B$5:$F$99,5,FALSE)=1,"L/g","")</f>
        <v>L/g</v>
      </c>
      <c r="AB21" s="185"/>
      <c r="AC21" s="187" t="str">
        <f>IF(AB20="","",MAX(AB20,AB21,AB22)/10*$B$20+$B$20)</f>
        <v/>
      </c>
      <c r="AD21" s="232" t="str">
        <f>IF(VLOOKUP(CONCATENATE("3",Konfiguration_Configuration!$N$6),Daten!$B$5:$F$99,5,FALSE)=1,"L/g","")</f>
        <v>L/g</v>
      </c>
      <c r="AE21" s="185"/>
      <c r="AF21" s="187" t="str">
        <f>IF(AE20="","",MAX(AE20,AE21,AE22)/10*$B$20+$B$20)</f>
        <v/>
      </c>
      <c r="AG21" s="232" t="str">
        <f>IF(VLOOKUP(CONCATENATE("3",Konfiguration_Configuration!$N$6),Daten!$B$5:$F$99,5,FALSE)=1,"L/g","")</f>
        <v>L/g</v>
      </c>
      <c r="AH21" s="185"/>
      <c r="AI21" s="187" t="str">
        <f>IF(AH20="","",MAX(AH20,AH21,AH22)/10*$B$20+$B$20)</f>
        <v/>
      </c>
      <c r="AJ21" s="169"/>
      <c r="AK21" s="137"/>
      <c r="AL21" s="232" t="str">
        <f>IF(VLOOKUP(CONCATENATE("3",Konfiguration_Configuration!$N$6),Daten!$B$5:$F$99,5,FALSE)=1,"L/g","")</f>
        <v>L/g</v>
      </c>
      <c r="AM21" s="185"/>
      <c r="AN21" s="187" t="str">
        <f>IF(AM20="","",MAX(AM20,AM21,AM22)/10*$B$20+$B$20)</f>
        <v/>
      </c>
      <c r="AO21" s="232" t="str">
        <f>IF(VLOOKUP(CONCATENATE("3",Konfiguration_Configuration!$N$6),Daten!$B$5:$F$99,5,FALSE)=1,"L/g","")</f>
        <v>L/g</v>
      </c>
      <c r="AP21" s="185"/>
      <c r="AQ21" s="187" t="str">
        <f>IF(AP20="","",MAX(AP20,AP21,AP22)/10*$B$20+$B$20)</f>
        <v/>
      </c>
      <c r="AR21" s="232" t="str">
        <f>IF(VLOOKUP(CONCATENATE("3",Konfiguration_Configuration!$N$6),Daten!$B$5:$F$99,5,FALSE)=1,"L/g","")</f>
        <v>L/g</v>
      </c>
      <c r="AS21" s="185"/>
      <c r="AT21" s="187" t="str">
        <f>IF(AS20="","",MAX(AS20,AS21,AS22)/10*$B$20+$B$20)</f>
        <v/>
      </c>
      <c r="AU21" s="232" t="str">
        <f>IF(VLOOKUP(CONCATENATE("3",Konfiguration_Configuration!$N$6),Daten!$B$5:$F$99,5,FALSE)=1,"L/g","")</f>
        <v>L/g</v>
      </c>
      <c r="AV21" s="185"/>
      <c r="AW21" s="187" t="str">
        <f>IF(AV20="","",MAX(AV20,AV21,AV22)/10*$B$20+$B$20)</f>
        <v/>
      </c>
      <c r="AX21" s="232" t="str">
        <f>IF(VLOOKUP(CONCATENATE("3",Konfiguration_Configuration!$N$6),Daten!$B$5:$F$99,5,FALSE)=1,"L/g","")</f>
        <v>L/g</v>
      </c>
      <c r="AY21" s="185"/>
      <c r="AZ21" s="187" t="str">
        <f>IF(AY20="","",MAX(AY20,AY21,AY22)/10*$B$20+$B$20)</f>
        <v/>
      </c>
      <c r="BA21" s="169"/>
      <c r="BB21" s="137"/>
      <c r="BC21" s="232" t="str">
        <f>IF(VLOOKUP(CONCATENATE("3",Konfiguration_Configuration!$N$6),Daten!$B$5:$F$99,5,FALSE)=1,"L/g","")</f>
        <v>L/g</v>
      </c>
      <c r="BD21" s="185"/>
      <c r="BE21" s="187" t="str">
        <f>IF(BD20="","",MAX(BD20,BD21,BD22)/10*$B$20+$B$20)</f>
        <v/>
      </c>
      <c r="BF21" s="232" t="str">
        <f>IF(VLOOKUP(CONCATENATE("3",Konfiguration_Configuration!$N$6),Daten!$B$5:$F$99,5,FALSE)=1,"L/g","")</f>
        <v>L/g</v>
      </c>
      <c r="BG21" s="185"/>
      <c r="BH21" s="187" t="str">
        <f>IF(BG20="","",MAX(BG20,BG21,BG22)/10*$B$20+$B$20)</f>
        <v/>
      </c>
      <c r="BI21" s="232" t="str">
        <f>IF(VLOOKUP(CONCATENATE("3",Konfiguration_Configuration!$N$6),Daten!$B$5:$F$99,5,FALSE)=1,"L/g","")</f>
        <v>L/g</v>
      </c>
      <c r="BJ21" s="185"/>
      <c r="BK21" s="187" t="str">
        <f>IF(BJ20="","",MAX(BJ20,BJ21,BJ22)/10*$B$20+$B$20)</f>
        <v/>
      </c>
      <c r="BL21" s="232" t="str">
        <f>IF(VLOOKUP(CONCATENATE("3",Konfiguration_Configuration!$N$6),Daten!$B$5:$F$99,5,FALSE)=1,"L/g","")</f>
        <v>L/g</v>
      </c>
      <c r="BM21" s="185"/>
      <c r="BN21" s="187" t="str">
        <f>IF(BM20="","",MAX(BM20,BM21,BM22)/10*$B$20+$B$20)</f>
        <v/>
      </c>
      <c r="BO21" s="232" t="str">
        <f>IF(VLOOKUP(CONCATENATE("3",Konfiguration_Configuration!$N$6),Daten!$B$5:$F$99,5,FALSE)=1,"L/g","")</f>
        <v>L/g</v>
      </c>
      <c r="BP21" s="185"/>
      <c r="BQ21" s="187" t="str">
        <f>IF(BP20="","",MAX(BP20,BP21,BP22)/10*$B$20+$B$20)</f>
        <v/>
      </c>
    </row>
    <row r="22" spans="1:72" ht="32.1" customHeight="1">
      <c r="A22" s="372"/>
      <c r="B22" s="170"/>
      <c r="C22" s="137" t="s">
        <v>245</v>
      </c>
      <c r="D22" s="139"/>
      <c r="E22" s="185"/>
      <c r="F22" s="191"/>
      <c r="G22" s="139"/>
      <c r="H22" s="185"/>
      <c r="I22" s="191"/>
      <c r="J22" s="139"/>
      <c r="K22" s="185"/>
      <c r="L22" s="191"/>
      <c r="M22" s="139"/>
      <c r="N22" s="185"/>
      <c r="O22" s="191"/>
      <c r="P22" s="139"/>
      <c r="Q22" s="185"/>
      <c r="R22" s="191"/>
      <c r="S22" s="170"/>
      <c r="T22" s="137" t="s">
        <v>245</v>
      </c>
      <c r="U22" s="139"/>
      <c r="V22" s="185"/>
      <c r="W22" s="191"/>
      <c r="X22" s="139"/>
      <c r="Y22" s="185"/>
      <c r="Z22" s="191"/>
      <c r="AA22" s="139"/>
      <c r="AB22" s="185"/>
      <c r="AC22" s="191"/>
      <c r="AD22" s="139"/>
      <c r="AE22" s="185"/>
      <c r="AF22" s="191"/>
      <c r="AG22" s="139"/>
      <c r="AH22" s="185"/>
      <c r="AI22" s="191"/>
      <c r="AJ22" s="170"/>
      <c r="AK22" s="137" t="s">
        <v>245</v>
      </c>
      <c r="AL22" s="139"/>
      <c r="AM22" s="185"/>
      <c r="AN22" s="191"/>
      <c r="AO22" s="139"/>
      <c r="AP22" s="185"/>
      <c r="AQ22" s="191"/>
      <c r="AR22" s="139"/>
      <c r="AS22" s="185"/>
      <c r="AT22" s="191"/>
      <c r="AU22" s="139"/>
      <c r="AV22" s="185"/>
      <c r="AW22" s="191"/>
      <c r="AX22" s="139"/>
      <c r="AY22" s="185"/>
      <c r="AZ22" s="191"/>
      <c r="BA22" s="170"/>
      <c r="BB22" s="137" t="s">
        <v>245</v>
      </c>
      <c r="BC22" s="139"/>
      <c r="BD22" s="185"/>
      <c r="BE22" s="191"/>
      <c r="BF22" s="139"/>
      <c r="BG22" s="185"/>
      <c r="BH22" s="191"/>
      <c r="BI22" s="139"/>
      <c r="BJ22" s="185"/>
      <c r="BK22" s="191"/>
      <c r="BL22" s="139"/>
      <c r="BM22" s="185"/>
      <c r="BN22" s="191"/>
      <c r="BO22" s="139"/>
      <c r="BP22" s="185"/>
      <c r="BQ22" s="191"/>
    </row>
    <row r="23" spans="1:72" ht="32.1" customHeight="1">
      <c r="A23" s="136" t="str">
        <f>CONCATENATE(LEFT(A$13,LEN(A$13)-1)," 4:")</f>
        <v>Element 4:</v>
      </c>
      <c r="B23" s="168">
        <f>VLOOKUP(CONCATENATE("4",Konfiguration_Configuration!$N$6),Daten!$B$5:$E$99,3,FALSE)</f>
        <v>1</v>
      </c>
      <c r="C23" s="137" t="s">
        <v>244</v>
      </c>
      <c r="D23" s="239" t="str">
        <f>IF(VLOOKUP(CONCATENATE("4",Konfiguration_Configuration!$N$6),Daten!$B$5:$F$99,5,FALSE)=1,"R/d","")</f>
        <v>R/d</v>
      </c>
      <c r="E23" s="186"/>
      <c r="F23" s="190"/>
      <c r="G23" s="239" t="str">
        <f>IF(VLOOKUP(CONCATENATE("4",Konfiguration_Configuration!$N$6),Daten!$B$5:$F$99,5,FALSE)=1,"R/d","")</f>
        <v>R/d</v>
      </c>
      <c r="H23" s="186"/>
      <c r="I23" s="190"/>
      <c r="J23" s="239" t="str">
        <f>IF(VLOOKUP(CONCATENATE("4",Konfiguration_Configuration!$N$6),Daten!$B$5:$F$99,5,FALSE)=1,"R/d","")</f>
        <v>R/d</v>
      </c>
      <c r="K23" s="186"/>
      <c r="L23" s="190"/>
      <c r="M23" s="239" t="str">
        <f>IF(VLOOKUP(CONCATENATE("4",Konfiguration_Configuration!$N$6),Daten!$B$5:$F$99,5,FALSE)=1,"R/d","")</f>
        <v>R/d</v>
      </c>
      <c r="N23" s="186"/>
      <c r="O23" s="190"/>
      <c r="P23" s="239" t="str">
        <f>IF(VLOOKUP(CONCATENATE("4",Konfiguration_Configuration!$N$6),Daten!$B$5:$F$99,5,FALSE)=1,"R/d","")</f>
        <v>R/d</v>
      </c>
      <c r="Q23" s="186"/>
      <c r="R23" s="190"/>
      <c r="S23" s="168">
        <f>VLOOKUP(CONCATENATE("4",Konfiguration_Configuration!$N$6),Daten!$B$5:$E$99,3,FALSE)</f>
        <v>1</v>
      </c>
      <c r="T23" s="137" t="s">
        <v>244</v>
      </c>
      <c r="U23" s="239" t="str">
        <f>IF(VLOOKUP(CONCATENATE("4",Konfiguration_Configuration!$N$6),Daten!$B$5:$F$99,5,FALSE)=1,"R/d","")</f>
        <v>R/d</v>
      </c>
      <c r="V23" s="186"/>
      <c r="W23" s="190"/>
      <c r="X23" s="239" t="str">
        <f>IF(VLOOKUP(CONCATENATE("4",Konfiguration_Configuration!$N$6),Daten!$B$5:$F$99,5,FALSE)=1,"R/d","")</f>
        <v>R/d</v>
      </c>
      <c r="Y23" s="186"/>
      <c r="Z23" s="190"/>
      <c r="AA23" s="239" t="str">
        <f>IF(VLOOKUP(CONCATENATE("4",Konfiguration_Configuration!$N$6),Daten!$B$5:$F$99,5,FALSE)=1,"R/d","")</f>
        <v>R/d</v>
      </c>
      <c r="AB23" s="186"/>
      <c r="AC23" s="190"/>
      <c r="AD23" s="239" t="str">
        <f>IF(VLOOKUP(CONCATENATE("4",Konfiguration_Configuration!$N$6),Daten!$B$5:$F$99,5,FALSE)=1,"R/d","")</f>
        <v>R/d</v>
      </c>
      <c r="AE23" s="186"/>
      <c r="AF23" s="190"/>
      <c r="AG23" s="239" t="str">
        <f>IF(VLOOKUP(CONCATENATE("4",Konfiguration_Configuration!$N$6),Daten!$B$5:$F$99,5,FALSE)=1,"R/d","")</f>
        <v>R/d</v>
      </c>
      <c r="AH23" s="186"/>
      <c r="AI23" s="190"/>
      <c r="AJ23" s="168">
        <f>VLOOKUP(CONCATENATE("4",Konfiguration_Configuration!$N$6),Daten!$B$5:$E$99,3,FALSE)</f>
        <v>1</v>
      </c>
      <c r="AK23" s="137" t="s">
        <v>244</v>
      </c>
      <c r="AL23" s="239" t="str">
        <f>IF(VLOOKUP(CONCATENATE("4",Konfiguration_Configuration!$N$6),Daten!$B$5:$F$99,5,FALSE)=1,"R/d","")</f>
        <v>R/d</v>
      </c>
      <c r="AM23" s="186"/>
      <c r="AN23" s="190"/>
      <c r="AO23" s="239" t="str">
        <f>IF(VLOOKUP(CONCATENATE("4",Konfiguration_Configuration!$N$6),Daten!$B$5:$F$99,5,FALSE)=1,"R/d","")</f>
        <v>R/d</v>
      </c>
      <c r="AP23" s="186"/>
      <c r="AQ23" s="190"/>
      <c r="AR23" s="239" t="str">
        <f>IF(VLOOKUP(CONCATENATE("4",Konfiguration_Configuration!$N$6),Daten!$B$5:$F$99,5,FALSE)=1,"R/d","")</f>
        <v>R/d</v>
      </c>
      <c r="AS23" s="186"/>
      <c r="AT23" s="190"/>
      <c r="AU23" s="239" t="str">
        <f>IF(VLOOKUP(CONCATENATE("4",Konfiguration_Configuration!$N$6),Daten!$B$5:$F$99,5,FALSE)=1,"R/d","")</f>
        <v>R/d</v>
      </c>
      <c r="AV23" s="186"/>
      <c r="AW23" s="190"/>
      <c r="AX23" s="239" t="str">
        <f>IF(VLOOKUP(CONCATENATE("4",Konfiguration_Configuration!$N$6),Daten!$B$5:$F$99,5,FALSE)=1,"R/d","")</f>
        <v>R/d</v>
      </c>
      <c r="AY23" s="186"/>
      <c r="AZ23" s="190"/>
      <c r="BA23" s="168">
        <f>VLOOKUP(CONCATENATE("4",Konfiguration_Configuration!$N$6),Daten!$B$5:$E$99,3,FALSE)</f>
        <v>1</v>
      </c>
      <c r="BB23" s="137" t="s">
        <v>244</v>
      </c>
      <c r="BC23" s="239" t="str">
        <f>IF(VLOOKUP(CONCATENATE("4",Konfiguration_Configuration!$N$6),Daten!$B$5:$F$99,5,FALSE)=1,"R/d","")</f>
        <v>R/d</v>
      </c>
      <c r="BD23" s="186"/>
      <c r="BE23" s="190"/>
      <c r="BF23" s="239" t="str">
        <f>IF(VLOOKUP(CONCATENATE("4",Konfiguration_Configuration!$N$6),Daten!$B$5:$F$99,5,FALSE)=1,"R/d","")</f>
        <v>R/d</v>
      </c>
      <c r="BG23" s="186"/>
      <c r="BH23" s="190"/>
      <c r="BI23" s="239" t="str">
        <f>IF(VLOOKUP(CONCATENATE("4",Konfiguration_Configuration!$N$6),Daten!$B$5:$F$99,5,FALSE)=1,"R/d","")</f>
        <v>R/d</v>
      </c>
      <c r="BJ23" s="186"/>
      <c r="BK23" s="190"/>
      <c r="BL23" s="239" t="str">
        <f>IF(VLOOKUP(CONCATENATE("4",Konfiguration_Configuration!$N$6),Daten!$B$5:$F$99,5,FALSE)=1,"R/d","")</f>
        <v>R/d</v>
      </c>
      <c r="BM23" s="186"/>
      <c r="BN23" s="190"/>
      <c r="BO23" s="239" t="str">
        <f>IF(VLOOKUP(CONCATENATE("4",Konfiguration_Configuration!$N$6),Daten!$B$5:$F$99,5,FALSE)=1,"R/d","")</f>
        <v>R/d</v>
      </c>
      <c r="BP23" s="186"/>
      <c r="BQ23" s="190"/>
    </row>
    <row r="24" spans="1:72" ht="32.1" customHeight="1">
      <c r="A24" s="371" t="str">
        <f>VLOOKUP(CONCATENATE("4",Konfiguration_Configuration!$N$6),Daten!$B$5:$E$99,2,FALSE)</f>
        <v>ve Dr-ra Dr</v>
      </c>
      <c r="B24" s="169"/>
      <c r="C24" s="137"/>
      <c r="D24" s="232" t="str">
        <f>IF(VLOOKUP(CONCATENATE("4",Konfiguration_Configuration!$N$6),Daten!$B$5:$F$99,5,FALSE)=1,"L/g","")</f>
        <v>L/g</v>
      </c>
      <c r="E24" s="185"/>
      <c r="F24" s="187" t="str">
        <f>IF(E23="","",MAX(E23,E24,E25)/10*$B$23+$B$23)</f>
        <v/>
      </c>
      <c r="G24" s="232" t="str">
        <f>IF(VLOOKUP(CONCATENATE("4",Konfiguration_Configuration!$N$6),Daten!$B$5:$F$99,5,FALSE)=1,"L/g","")</f>
        <v>L/g</v>
      </c>
      <c r="H24" s="185"/>
      <c r="I24" s="187" t="str">
        <f>IF(H23="","",MAX(H23,H24,H25)/10*$B$23+$B$23)</f>
        <v/>
      </c>
      <c r="J24" s="232" t="str">
        <f>IF(VLOOKUP(CONCATENATE("4",Konfiguration_Configuration!$N$6),Daten!$B$5:$F$99,5,FALSE)=1,"L/g","")</f>
        <v>L/g</v>
      </c>
      <c r="K24" s="185"/>
      <c r="L24" s="187" t="str">
        <f>IF(K23="","",MAX(K23,K24,K25)/10*$B$23+$B$23)</f>
        <v/>
      </c>
      <c r="M24" s="232" t="str">
        <f>IF(VLOOKUP(CONCATENATE("4",Konfiguration_Configuration!$N$6),Daten!$B$5:$F$99,5,FALSE)=1,"L/g","")</f>
        <v>L/g</v>
      </c>
      <c r="N24" s="185"/>
      <c r="O24" s="187" t="str">
        <f>IF(N23="","",MAX(N23,N24,N25)/10*$B$23+$B$23)</f>
        <v/>
      </c>
      <c r="P24" s="232" t="str">
        <f>IF(VLOOKUP(CONCATENATE("4",Konfiguration_Configuration!$N$6),Daten!$B$5:$F$99,5,FALSE)=1,"L/g","")</f>
        <v>L/g</v>
      </c>
      <c r="Q24" s="185"/>
      <c r="R24" s="187" t="str">
        <f>IF(Q23="","",MAX(Q23,Q24,Q25)/10*$B$23+$B$23)</f>
        <v/>
      </c>
      <c r="S24" s="169"/>
      <c r="T24" s="137"/>
      <c r="U24" s="232" t="str">
        <f>IF(VLOOKUP(CONCATENATE("4",Konfiguration_Configuration!$N$6),Daten!$B$5:$F$99,5,FALSE)=1,"L/g","")</f>
        <v>L/g</v>
      </c>
      <c r="V24" s="185"/>
      <c r="W24" s="187" t="str">
        <f>IF(V23="","",MAX(V23,V24,V25)/10*$B$23+$B$23)</f>
        <v/>
      </c>
      <c r="X24" s="232" t="str">
        <f>IF(VLOOKUP(CONCATENATE("4",Konfiguration_Configuration!$N$6),Daten!$B$5:$F$99,5,FALSE)=1,"L/g","")</f>
        <v>L/g</v>
      </c>
      <c r="Y24" s="185"/>
      <c r="Z24" s="187" t="str">
        <f>IF(Y23="","",MAX(Y23,Y24,Y25)/10*$B$23+$B$23)</f>
        <v/>
      </c>
      <c r="AA24" s="232" t="str">
        <f>IF(VLOOKUP(CONCATENATE("4",Konfiguration_Configuration!$N$6),Daten!$B$5:$F$99,5,FALSE)=1,"L/g","")</f>
        <v>L/g</v>
      </c>
      <c r="AB24" s="185"/>
      <c r="AC24" s="187" t="str">
        <f>IF(AB23="","",MAX(AB23,AB24,AB25)/10*$B$23+$B$23)</f>
        <v/>
      </c>
      <c r="AD24" s="232" t="str">
        <f>IF(VLOOKUP(CONCATENATE("4",Konfiguration_Configuration!$N$6),Daten!$B$5:$F$99,5,FALSE)=1,"L/g","")</f>
        <v>L/g</v>
      </c>
      <c r="AE24" s="185"/>
      <c r="AF24" s="187" t="str">
        <f>IF(AE23="","",MAX(AE23,AE24,AE25)/10*$B$23+$B$23)</f>
        <v/>
      </c>
      <c r="AG24" s="232" t="str">
        <f>IF(VLOOKUP(CONCATENATE("4",Konfiguration_Configuration!$N$6),Daten!$B$5:$F$99,5,FALSE)=1,"L/g","")</f>
        <v>L/g</v>
      </c>
      <c r="AH24" s="185"/>
      <c r="AI24" s="187" t="str">
        <f>IF(AH23="","",MAX(AH23,AH24,AH25)/10*$B$23+$B$23)</f>
        <v/>
      </c>
      <c r="AJ24" s="169"/>
      <c r="AK24" s="137"/>
      <c r="AL24" s="232" t="str">
        <f>IF(VLOOKUP(CONCATENATE("4",Konfiguration_Configuration!$N$6),Daten!$B$5:$F$99,5,FALSE)=1,"L/g","")</f>
        <v>L/g</v>
      </c>
      <c r="AM24" s="185"/>
      <c r="AN24" s="187" t="str">
        <f>IF(AM23="","",MAX(AM23,AM24,AM25)/10*$B$23+$B$23)</f>
        <v/>
      </c>
      <c r="AO24" s="232" t="str">
        <f>IF(VLOOKUP(CONCATENATE("4",Konfiguration_Configuration!$N$6),Daten!$B$5:$F$99,5,FALSE)=1,"L/g","")</f>
        <v>L/g</v>
      </c>
      <c r="AP24" s="185"/>
      <c r="AQ24" s="187" t="str">
        <f>IF(AP23="","",MAX(AP23,AP24,AP25)/10*$B$23+$B$23)</f>
        <v/>
      </c>
      <c r="AR24" s="232" t="str">
        <f>IF(VLOOKUP(CONCATENATE("4",Konfiguration_Configuration!$N$6),Daten!$B$5:$F$99,5,FALSE)=1,"L/g","")</f>
        <v>L/g</v>
      </c>
      <c r="AS24" s="185"/>
      <c r="AT24" s="187" t="str">
        <f>IF(AS23="","",MAX(AS23,AS24,AS25)/10*$B$23+$B$23)</f>
        <v/>
      </c>
      <c r="AU24" s="232" t="str">
        <f>IF(VLOOKUP(CONCATENATE("4",Konfiguration_Configuration!$N$6),Daten!$B$5:$F$99,5,FALSE)=1,"L/g","")</f>
        <v>L/g</v>
      </c>
      <c r="AV24" s="185"/>
      <c r="AW24" s="187" t="str">
        <f>IF(AV23="","",MAX(AV23,AV24,AV25)/10*$B$23+$B$23)</f>
        <v/>
      </c>
      <c r="AX24" s="232" t="str">
        <f>IF(VLOOKUP(CONCATENATE("4",Konfiguration_Configuration!$N$6),Daten!$B$5:$F$99,5,FALSE)=1,"L/g","")</f>
        <v>L/g</v>
      </c>
      <c r="AY24" s="185"/>
      <c r="AZ24" s="187" t="str">
        <f>IF(AY23="","",MAX(AY23,AY24,AY25)/10*$B$23+$B$23)</f>
        <v/>
      </c>
      <c r="BA24" s="169"/>
      <c r="BB24" s="137"/>
      <c r="BC24" s="232" t="str">
        <f>IF(VLOOKUP(CONCATENATE("4",Konfiguration_Configuration!$N$6),Daten!$B$5:$F$99,5,FALSE)=1,"L/g","")</f>
        <v>L/g</v>
      </c>
      <c r="BD24" s="185"/>
      <c r="BE24" s="187" t="str">
        <f>IF(BD23="","",MAX(BD23,BD24,BD25)/10*$B$23+$B$23)</f>
        <v/>
      </c>
      <c r="BF24" s="232" t="str">
        <f>IF(VLOOKUP(CONCATENATE("4",Konfiguration_Configuration!$N$6),Daten!$B$5:$F$99,5,FALSE)=1,"L/g","")</f>
        <v>L/g</v>
      </c>
      <c r="BG24" s="185"/>
      <c r="BH24" s="187" t="str">
        <f>IF(BG23="","",MAX(BG23,BG24,BG25)/10*$B$23+$B$23)</f>
        <v/>
      </c>
      <c r="BI24" s="232" t="str">
        <f>IF(VLOOKUP(CONCATENATE("4",Konfiguration_Configuration!$N$6),Daten!$B$5:$F$99,5,FALSE)=1,"L/g","")</f>
        <v>L/g</v>
      </c>
      <c r="BJ24" s="185"/>
      <c r="BK24" s="187" t="str">
        <f>IF(BJ23="","",MAX(BJ23,BJ24,BJ25)/10*$B$23+$B$23)</f>
        <v/>
      </c>
      <c r="BL24" s="232" t="str">
        <f>IF(VLOOKUP(CONCATENATE("4",Konfiguration_Configuration!$N$6),Daten!$B$5:$F$99,5,FALSE)=1,"L/g","")</f>
        <v>L/g</v>
      </c>
      <c r="BM24" s="185"/>
      <c r="BN24" s="187" t="str">
        <f>IF(BM23="","",MAX(BM23,BM24,BM25)/10*$B$23+$B$23)</f>
        <v/>
      </c>
      <c r="BO24" s="232" t="str">
        <f>IF(VLOOKUP(CONCATENATE("4",Konfiguration_Configuration!$N$6),Daten!$B$5:$F$99,5,FALSE)=1,"L/g","")</f>
        <v>L/g</v>
      </c>
      <c r="BP24" s="185"/>
      <c r="BQ24" s="187" t="str">
        <f>IF(BP23="","",MAX(BP23,BP24,BP25)/10*$B$23+$B$23)</f>
        <v/>
      </c>
    </row>
    <row r="25" spans="1:72" ht="32.1" customHeight="1">
      <c r="A25" s="372"/>
      <c r="B25" s="170"/>
      <c r="C25" s="137" t="s">
        <v>245</v>
      </c>
      <c r="D25" s="135"/>
      <c r="E25" s="186"/>
      <c r="F25" s="191"/>
      <c r="G25" s="135"/>
      <c r="H25" s="186"/>
      <c r="I25" s="191"/>
      <c r="J25" s="135"/>
      <c r="K25" s="186"/>
      <c r="L25" s="191"/>
      <c r="M25" s="135"/>
      <c r="N25" s="186"/>
      <c r="O25" s="191"/>
      <c r="P25" s="135"/>
      <c r="Q25" s="186"/>
      <c r="R25" s="191"/>
      <c r="S25" s="170"/>
      <c r="T25" s="137" t="s">
        <v>245</v>
      </c>
      <c r="U25" s="135"/>
      <c r="V25" s="186"/>
      <c r="W25" s="191"/>
      <c r="X25" s="135"/>
      <c r="Y25" s="186"/>
      <c r="Z25" s="191"/>
      <c r="AA25" s="135"/>
      <c r="AB25" s="186"/>
      <c r="AC25" s="191"/>
      <c r="AD25" s="135"/>
      <c r="AE25" s="186"/>
      <c r="AF25" s="191"/>
      <c r="AG25" s="135"/>
      <c r="AH25" s="186"/>
      <c r="AI25" s="191"/>
      <c r="AJ25" s="170"/>
      <c r="AK25" s="137" t="s">
        <v>245</v>
      </c>
      <c r="AL25" s="135"/>
      <c r="AM25" s="186"/>
      <c r="AN25" s="191"/>
      <c r="AO25" s="135"/>
      <c r="AP25" s="186"/>
      <c r="AQ25" s="191"/>
      <c r="AR25" s="135"/>
      <c r="AS25" s="186"/>
      <c r="AT25" s="191"/>
      <c r="AU25" s="135"/>
      <c r="AV25" s="186"/>
      <c r="AW25" s="191"/>
      <c r="AX25" s="135"/>
      <c r="AY25" s="186"/>
      <c r="AZ25" s="191"/>
      <c r="BA25" s="170"/>
      <c r="BB25" s="137" t="s">
        <v>245</v>
      </c>
      <c r="BC25" s="135"/>
      <c r="BD25" s="186"/>
      <c r="BE25" s="191"/>
      <c r="BF25" s="135"/>
      <c r="BG25" s="186"/>
      <c r="BH25" s="191"/>
      <c r="BI25" s="135"/>
      <c r="BJ25" s="186"/>
      <c r="BK25" s="191"/>
      <c r="BL25" s="135"/>
      <c r="BM25" s="186"/>
      <c r="BN25" s="191"/>
      <c r="BO25" s="135"/>
      <c r="BP25" s="186"/>
      <c r="BQ25" s="191"/>
    </row>
    <row r="26" spans="1:72" ht="32.1" customHeight="1">
      <c r="A26" s="136" t="str">
        <f>CONCATENATE(LEFT(A$13,LEN(A$13)-1)," 5:")</f>
        <v>Element 5:</v>
      </c>
      <c r="B26" s="168">
        <f>VLOOKUP(CONCATENATE("5",Konfiguration_Configuration!$N$6),Daten!$B$5:$E$99,3,FALSE)</f>
        <v>1</v>
      </c>
      <c r="C26" s="137" t="s">
        <v>244</v>
      </c>
      <c r="D26" s="239" t="str">
        <f>IF(VLOOKUP(CONCATENATE("5",Konfiguration_Configuration!$N$6),Daten!$B$5:$F$99,5,FALSE)=1,"R/d","")</f>
        <v/>
      </c>
      <c r="E26" s="186"/>
      <c r="F26" s="190"/>
      <c r="G26" s="239" t="str">
        <f>IF(VLOOKUP(CONCATENATE("5",Konfiguration_Configuration!$N$6),Daten!$B$5:$F$99,5,FALSE)=1,"R/d","")</f>
        <v/>
      </c>
      <c r="H26" s="186"/>
      <c r="I26" s="190"/>
      <c r="J26" s="239" t="str">
        <f>IF(VLOOKUP(CONCATENATE("5",Konfiguration_Configuration!$N$6),Daten!$B$5:$F$99,5,FALSE)=1,"R/d","")</f>
        <v/>
      </c>
      <c r="K26" s="186"/>
      <c r="L26" s="190"/>
      <c r="M26" s="239" t="str">
        <f>IF(VLOOKUP(CONCATENATE("5",Konfiguration_Configuration!$N$6),Daten!$B$5:$F$99,5,FALSE)=1,"R/d","")</f>
        <v/>
      </c>
      <c r="N26" s="186"/>
      <c r="O26" s="190"/>
      <c r="P26" s="239" t="str">
        <f>IF(VLOOKUP(CONCATENATE("5",Konfiguration_Configuration!$N$6),Daten!$B$5:$F$99,5,FALSE)=1,"R/d","")</f>
        <v/>
      </c>
      <c r="Q26" s="186"/>
      <c r="R26" s="190"/>
      <c r="S26" s="168">
        <f>VLOOKUP(CONCATENATE("5",Konfiguration_Configuration!$N$6),Daten!$B$5:$E$99,3,FALSE)</f>
        <v>1</v>
      </c>
      <c r="T26" s="137" t="s">
        <v>244</v>
      </c>
      <c r="U26" s="239" t="str">
        <f>IF(VLOOKUP(CONCATENATE("5",Konfiguration_Configuration!$N$6),Daten!$B$5:$F$99,5,FALSE)=1,"R/d","")</f>
        <v/>
      </c>
      <c r="V26" s="186"/>
      <c r="W26" s="190"/>
      <c r="X26" s="239" t="str">
        <f>IF(VLOOKUP(CONCATENATE("5",Konfiguration_Configuration!$N$6),Daten!$B$5:$F$99,5,FALSE)=1,"R/d","")</f>
        <v/>
      </c>
      <c r="Y26" s="186"/>
      <c r="Z26" s="190"/>
      <c r="AA26" s="239" t="str">
        <f>IF(VLOOKUP(CONCATENATE("5",Konfiguration_Configuration!$N$6),Daten!$B$5:$F$99,5,FALSE)=1,"R/d","")</f>
        <v/>
      </c>
      <c r="AB26" s="186"/>
      <c r="AC26" s="190"/>
      <c r="AD26" s="239" t="str">
        <f>IF(VLOOKUP(CONCATENATE("5",Konfiguration_Configuration!$N$6),Daten!$B$5:$F$99,5,FALSE)=1,"R/d","")</f>
        <v/>
      </c>
      <c r="AE26" s="186"/>
      <c r="AF26" s="190"/>
      <c r="AG26" s="239" t="str">
        <f>IF(VLOOKUP(CONCATENATE("5",Konfiguration_Configuration!$N$6),Daten!$B$5:$F$99,5,FALSE)=1,"R/d","")</f>
        <v/>
      </c>
      <c r="AH26" s="186"/>
      <c r="AI26" s="190"/>
      <c r="AJ26" s="168">
        <f>VLOOKUP(CONCATENATE("5",Konfiguration_Configuration!$N$6),Daten!$B$5:$E$99,3,FALSE)</f>
        <v>1</v>
      </c>
      <c r="AK26" s="137" t="s">
        <v>244</v>
      </c>
      <c r="AL26" s="239" t="str">
        <f>IF(VLOOKUP(CONCATENATE("5",Konfiguration_Configuration!$N$6),Daten!$B$5:$F$99,5,FALSE)=1,"R/d","")</f>
        <v/>
      </c>
      <c r="AM26" s="186"/>
      <c r="AN26" s="190"/>
      <c r="AO26" s="239" t="str">
        <f>IF(VLOOKUP(CONCATENATE("5",Konfiguration_Configuration!$N$6),Daten!$B$5:$F$99,5,FALSE)=1,"R/d","")</f>
        <v/>
      </c>
      <c r="AP26" s="186"/>
      <c r="AQ26" s="190"/>
      <c r="AR26" s="239" t="str">
        <f>IF(VLOOKUP(CONCATENATE("5",Konfiguration_Configuration!$N$6),Daten!$B$5:$F$99,5,FALSE)=1,"R/d","")</f>
        <v/>
      </c>
      <c r="AS26" s="186"/>
      <c r="AT26" s="190"/>
      <c r="AU26" s="239" t="str">
        <f>IF(VLOOKUP(CONCATENATE("5",Konfiguration_Configuration!$N$6),Daten!$B$5:$F$99,5,FALSE)=1,"R/d","")</f>
        <v/>
      </c>
      <c r="AV26" s="186"/>
      <c r="AW26" s="190"/>
      <c r="AX26" s="239" t="str">
        <f>IF(VLOOKUP(CONCATENATE("5",Konfiguration_Configuration!$N$6),Daten!$B$5:$F$99,5,FALSE)=1,"R/d","")</f>
        <v/>
      </c>
      <c r="AY26" s="186"/>
      <c r="AZ26" s="190"/>
      <c r="BA26" s="168">
        <f>VLOOKUP(CONCATENATE("5",Konfiguration_Configuration!$N$6),Daten!$B$5:$E$99,3,FALSE)</f>
        <v>1</v>
      </c>
      <c r="BB26" s="137" t="s">
        <v>244</v>
      </c>
      <c r="BC26" s="239" t="str">
        <f>IF(VLOOKUP(CONCATENATE("5",Konfiguration_Configuration!$N$6),Daten!$B$5:$F$99,5,FALSE)=1,"R/d","")</f>
        <v/>
      </c>
      <c r="BD26" s="186"/>
      <c r="BE26" s="190"/>
      <c r="BF26" s="239" t="str">
        <f>IF(VLOOKUP(CONCATENATE("5",Konfiguration_Configuration!$N$6),Daten!$B$5:$F$99,5,FALSE)=1,"R/d","")</f>
        <v/>
      </c>
      <c r="BG26" s="186"/>
      <c r="BH26" s="190"/>
      <c r="BI26" s="239" t="str">
        <f>IF(VLOOKUP(CONCATENATE("5",Konfiguration_Configuration!$N$6),Daten!$B$5:$F$99,5,FALSE)=1,"R/d","")</f>
        <v/>
      </c>
      <c r="BJ26" s="186"/>
      <c r="BK26" s="190"/>
      <c r="BL26" s="239" t="str">
        <f>IF(VLOOKUP(CONCATENATE("5",Konfiguration_Configuration!$N$6),Daten!$B$5:$F$99,5,FALSE)=1,"R/d","")</f>
        <v/>
      </c>
      <c r="BM26" s="186"/>
      <c r="BN26" s="190"/>
      <c r="BO26" s="239" t="str">
        <f>IF(VLOOKUP(CONCATENATE("5",Konfiguration_Configuration!$N$6),Daten!$B$5:$F$99,5,FALSE)=1,"R/d","")</f>
        <v/>
      </c>
      <c r="BP26" s="186"/>
      <c r="BQ26" s="190"/>
    </row>
    <row r="27" spans="1:72" ht="32.1" customHeight="1">
      <c r="A27" s="371" t="str">
        <f>VLOOKUP(CONCATENATE("5",Konfiguration_Configuration!$N$6),Daten!$B$5:$E$99,2,FALSE)</f>
        <v>A: Schl+oMo / B: 2 versch. Schl+Mo</v>
      </c>
      <c r="B27" s="169"/>
      <c r="C27" s="137"/>
      <c r="D27" s="232" t="str">
        <f>IF(VLOOKUP(CONCATENATE("5",Konfiguration_Configuration!$N$6),Daten!$B$5:$F$99,5,FALSE)=1,"L/g","")</f>
        <v/>
      </c>
      <c r="E27" s="185"/>
      <c r="F27" s="187" t="str">
        <f>IF(E26="","",MAX(E26,E27,E28)/10*$B$26+$B$26)</f>
        <v/>
      </c>
      <c r="G27" s="232" t="str">
        <f>IF(VLOOKUP(CONCATENATE("5",Konfiguration_Configuration!$N$6),Daten!$B$5:$F$99,5,FALSE)=1,"L/g","")</f>
        <v/>
      </c>
      <c r="H27" s="185"/>
      <c r="I27" s="187" t="str">
        <f>IF(H26="","",MAX(H26,H27,H28)/10*$B$26+$B$26)</f>
        <v/>
      </c>
      <c r="J27" s="232" t="str">
        <f>IF(VLOOKUP(CONCATENATE("5",Konfiguration_Configuration!$N$6),Daten!$B$5:$F$99,5,FALSE)=1,"L/g","")</f>
        <v/>
      </c>
      <c r="K27" s="185"/>
      <c r="L27" s="187" t="str">
        <f>IF(K26="","",MAX(K26,K27,K28)/10*$B$26+$B$26)</f>
        <v/>
      </c>
      <c r="M27" s="232" t="str">
        <f>IF(VLOOKUP(CONCATENATE("5",Konfiguration_Configuration!$N$6),Daten!$B$5:$F$99,5,FALSE)=1,"L/g","")</f>
        <v/>
      </c>
      <c r="N27" s="185"/>
      <c r="O27" s="187" t="str">
        <f>IF(N26="","",MAX(N26,N27,N28)/10*$B$26+$B$26)</f>
        <v/>
      </c>
      <c r="P27" s="232" t="str">
        <f>IF(VLOOKUP(CONCATENATE("5",Konfiguration_Configuration!$N$6),Daten!$B$5:$F$99,5,FALSE)=1,"L/g","")</f>
        <v/>
      </c>
      <c r="Q27" s="185"/>
      <c r="R27" s="187" t="str">
        <f>IF(Q26="","",MAX(Q26,Q27,Q28)/10*$B$26+$B$26)</f>
        <v/>
      </c>
      <c r="S27" s="169"/>
      <c r="T27" s="137"/>
      <c r="U27" s="232" t="str">
        <f>IF(VLOOKUP(CONCATENATE("5",Konfiguration_Configuration!$N$6),Daten!$B$5:$F$99,5,FALSE)=1,"L/g","")</f>
        <v/>
      </c>
      <c r="V27" s="185"/>
      <c r="W27" s="187" t="str">
        <f>IF(V26="","",MAX(V26,V27,V28)/10*$B$26+$B$26)</f>
        <v/>
      </c>
      <c r="X27" s="232" t="str">
        <f>IF(VLOOKUP(CONCATENATE("5",Konfiguration_Configuration!$N$6),Daten!$B$5:$F$99,5,FALSE)=1,"L/g","")</f>
        <v/>
      </c>
      <c r="Y27" s="185"/>
      <c r="Z27" s="187" t="str">
        <f>IF(Y26="","",MAX(Y26,Y27,Y28)/10*$B$26+$B$26)</f>
        <v/>
      </c>
      <c r="AA27" s="232" t="str">
        <f>IF(VLOOKUP(CONCATENATE("5",Konfiguration_Configuration!$N$6),Daten!$B$5:$F$99,5,FALSE)=1,"L/g","")</f>
        <v/>
      </c>
      <c r="AB27" s="185"/>
      <c r="AC27" s="187" t="str">
        <f>IF(AB26="","",MAX(AB26,AB27,AB28)/10*$B$26+$B$26)</f>
        <v/>
      </c>
      <c r="AD27" s="232" t="str">
        <f>IF(VLOOKUP(CONCATENATE("5",Konfiguration_Configuration!$N$6),Daten!$B$5:$F$99,5,FALSE)=1,"L/g","")</f>
        <v/>
      </c>
      <c r="AE27" s="185"/>
      <c r="AF27" s="187" t="str">
        <f>IF(AE26="","",MAX(AE26,AE27,AE28)/10*$B$26+$B$26)</f>
        <v/>
      </c>
      <c r="AG27" s="232" t="str">
        <f>IF(VLOOKUP(CONCATENATE("5",Konfiguration_Configuration!$N$6),Daten!$B$5:$F$99,5,FALSE)=1,"L/g","")</f>
        <v/>
      </c>
      <c r="AH27" s="185"/>
      <c r="AI27" s="187" t="str">
        <f>IF(AH26="","",MAX(AH26,AH27,AH28)/10*$B$26+$B$26)</f>
        <v/>
      </c>
      <c r="AJ27" s="169"/>
      <c r="AK27" s="137"/>
      <c r="AL27" s="232" t="str">
        <f>IF(VLOOKUP(CONCATENATE("5",Konfiguration_Configuration!$N$6),Daten!$B$5:$F$99,5,FALSE)=1,"L/g","")</f>
        <v/>
      </c>
      <c r="AM27" s="185"/>
      <c r="AN27" s="187" t="str">
        <f>IF(AM26="","",MAX(AM26,AM27,AM28)/10*$B$26+$B$26)</f>
        <v/>
      </c>
      <c r="AO27" s="232" t="str">
        <f>IF(VLOOKUP(CONCATENATE("5",Konfiguration_Configuration!$N$6),Daten!$B$5:$F$99,5,FALSE)=1,"L/g","")</f>
        <v/>
      </c>
      <c r="AP27" s="185"/>
      <c r="AQ27" s="187" t="str">
        <f>IF(AP26="","",MAX(AP26,AP27,AP28)/10*$B$26+$B$26)</f>
        <v/>
      </c>
      <c r="AR27" s="232" t="str">
        <f>IF(VLOOKUP(CONCATENATE("5",Konfiguration_Configuration!$N$6),Daten!$B$5:$F$99,5,FALSE)=1,"L/g","")</f>
        <v/>
      </c>
      <c r="AS27" s="185"/>
      <c r="AT27" s="187" t="str">
        <f>IF(AS26="","",MAX(AS26,AS27,AS28)/10*$B$26+$B$26)</f>
        <v/>
      </c>
      <c r="AU27" s="232" t="str">
        <f>IF(VLOOKUP(CONCATENATE("5",Konfiguration_Configuration!$N$6),Daten!$B$5:$F$99,5,FALSE)=1,"L/g","")</f>
        <v/>
      </c>
      <c r="AV27" s="185"/>
      <c r="AW27" s="187" t="str">
        <f>IF(AV26="","",MAX(AV26,AV27,AV28)/10*$B$26+$B$26)</f>
        <v/>
      </c>
      <c r="AX27" s="232" t="str">
        <f>IF(VLOOKUP(CONCATENATE("5",Konfiguration_Configuration!$N$6),Daten!$B$5:$F$99,5,FALSE)=1,"L/g","")</f>
        <v/>
      </c>
      <c r="AY27" s="185"/>
      <c r="AZ27" s="187" t="str">
        <f>IF(AY26="","",MAX(AY26,AY27,AY28)/10*$B$26+$B$26)</f>
        <v/>
      </c>
      <c r="BA27" s="169"/>
      <c r="BB27" s="137"/>
      <c r="BC27" s="232" t="str">
        <f>IF(VLOOKUP(CONCATENATE("5",Konfiguration_Configuration!$N$6),Daten!$B$5:$F$99,5,FALSE)=1,"L/g","")</f>
        <v/>
      </c>
      <c r="BD27" s="185"/>
      <c r="BE27" s="187" t="str">
        <f>IF(BD26="","",MAX(BD26,BD27,BD28)/10*$B$26+$B$26)</f>
        <v/>
      </c>
      <c r="BF27" s="232" t="str">
        <f>IF(VLOOKUP(CONCATENATE("5",Konfiguration_Configuration!$N$6),Daten!$B$5:$F$99,5,FALSE)=1,"L/g","")</f>
        <v/>
      </c>
      <c r="BG27" s="185"/>
      <c r="BH27" s="187" t="str">
        <f>IF(BG26="","",MAX(BG26,BG27,BG28)/10*$B$26+$B$26)</f>
        <v/>
      </c>
      <c r="BI27" s="232" t="str">
        <f>IF(VLOOKUP(CONCATENATE("5",Konfiguration_Configuration!$N$6),Daten!$B$5:$F$99,5,FALSE)=1,"L/g","")</f>
        <v/>
      </c>
      <c r="BJ27" s="185"/>
      <c r="BK27" s="187" t="str">
        <f>IF(BJ26="","",MAX(BJ26,BJ27,BJ28)/10*$B$26+$B$26)</f>
        <v/>
      </c>
      <c r="BL27" s="232" t="str">
        <f>IF(VLOOKUP(CONCATENATE("5",Konfiguration_Configuration!$N$6),Daten!$B$5:$F$99,5,FALSE)=1,"L/g","")</f>
        <v/>
      </c>
      <c r="BM27" s="185"/>
      <c r="BN27" s="187" t="str">
        <f>IF(BM26="","",MAX(BM26,BM27,BM28)/10*$B$26+$B$26)</f>
        <v/>
      </c>
      <c r="BO27" s="232" t="str">
        <f>IF(VLOOKUP(CONCATENATE("5",Konfiguration_Configuration!$N$6),Daten!$B$5:$F$99,5,FALSE)=1,"L/g","")</f>
        <v/>
      </c>
      <c r="BP27" s="185"/>
      <c r="BQ27" s="187" t="str">
        <f>IF(BP26="","",MAX(BP26,BP27,BP28)/10*$B$26+$B$26)</f>
        <v/>
      </c>
    </row>
    <row r="28" spans="1:72" ht="32.1" customHeight="1">
      <c r="A28" s="372"/>
      <c r="B28" s="170"/>
      <c r="C28" s="137" t="s">
        <v>245</v>
      </c>
      <c r="D28" s="135"/>
      <c r="E28" s="186"/>
      <c r="F28" s="191"/>
      <c r="G28" s="135"/>
      <c r="H28" s="186"/>
      <c r="I28" s="191"/>
      <c r="J28" s="135"/>
      <c r="K28" s="186"/>
      <c r="L28" s="191"/>
      <c r="M28" s="135"/>
      <c r="N28" s="186"/>
      <c r="O28" s="191"/>
      <c r="P28" s="135"/>
      <c r="Q28" s="186"/>
      <c r="R28" s="191"/>
      <c r="S28" s="170"/>
      <c r="T28" s="137" t="s">
        <v>245</v>
      </c>
      <c r="U28" s="135"/>
      <c r="V28" s="186"/>
      <c r="W28" s="191"/>
      <c r="X28" s="135"/>
      <c r="Y28" s="186"/>
      <c r="Z28" s="191"/>
      <c r="AA28" s="135"/>
      <c r="AB28" s="186"/>
      <c r="AC28" s="191"/>
      <c r="AD28" s="135"/>
      <c r="AE28" s="186"/>
      <c r="AF28" s="191"/>
      <c r="AG28" s="135"/>
      <c r="AH28" s="186"/>
      <c r="AI28" s="191"/>
      <c r="AJ28" s="170"/>
      <c r="AK28" s="137" t="s">
        <v>245</v>
      </c>
      <c r="AL28" s="135"/>
      <c r="AM28" s="186"/>
      <c r="AN28" s="191"/>
      <c r="AO28" s="135"/>
      <c r="AP28" s="186"/>
      <c r="AQ28" s="191"/>
      <c r="AR28" s="135"/>
      <c r="AS28" s="186"/>
      <c r="AT28" s="191"/>
      <c r="AU28" s="135"/>
      <c r="AV28" s="186"/>
      <c r="AW28" s="191"/>
      <c r="AX28" s="135"/>
      <c r="AY28" s="186"/>
      <c r="AZ28" s="191"/>
      <c r="BA28" s="170"/>
      <c r="BB28" s="137" t="s">
        <v>245</v>
      </c>
      <c r="BC28" s="135"/>
      <c r="BD28" s="186"/>
      <c r="BE28" s="191"/>
      <c r="BF28" s="135"/>
      <c r="BG28" s="186"/>
      <c r="BH28" s="191"/>
      <c r="BI28" s="135"/>
      <c r="BJ28" s="186"/>
      <c r="BK28" s="191"/>
      <c r="BL28" s="135"/>
      <c r="BM28" s="186"/>
      <c r="BN28" s="191"/>
      <c r="BO28" s="135"/>
      <c r="BP28" s="186"/>
      <c r="BQ28" s="191"/>
    </row>
    <row r="29" spans="1:72" ht="18" customHeight="1">
      <c r="A29" s="222"/>
      <c r="B29" s="220"/>
      <c r="C29" s="221"/>
      <c r="D29" s="373" t="str">
        <f>VLOOKUP(CONCATENATE("12",Konfiguration_Configuration!$N$6),Daten!$B$5:$E$99,2,FALSE)</f>
        <v xml:space="preserve">Zum Bestehen des 1. Teils braucht der Läufer die Punktzahl der BASE bei der Mehrheit der Preisrichter und bei der Mehrheit der Elemente. </v>
      </c>
      <c r="E29" s="330"/>
      <c r="F29" s="330"/>
      <c r="G29" s="330"/>
      <c r="H29" s="330"/>
      <c r="I29" s="330"/>
      <c r="J29" s="330"/>
      <c r="K29" s="330"/>
      <c r="L29" s="330"/>
      <c r="M29" s="330"/>
      <c r="N29" s="330"/>
      <c r="O29" s="330"/>
      <c r="P29" s="330"/>
      <c r="Q29" s="330"/>
      <c r="R29" s="331"/>
      <c r="S29" s="220"/>
      <c r="T29" s="248"/>
      <c r="U29" s="373" t="str">
        <f>VLOOKUP(CONCATENATE("12",Konfiguration_Configuration!$N$6),Daten!$B$5:$E$99,2,FALSE)</f>
        <v xml:space="preserve">Zum Bestehen des 1. Teils braucht der Läufer die Punktzahl der BASE bei der Mehrheit der Preisrichter und bei der Mehrheit der Elemente. </v>
      </c>
      <c r="V29" s="330"/>
      <c r="W29" s="330"/>
      <c r="X29" s="330"/>
      <c r="Y29" s="330"/>
      <c r="Z29" s="330"/>
      <c r="AA29" s="330"/>
      <c r="AB29" s="330"/>
      <c r="AC29" s="330"/>
      <c r="AD29" s="330"/>
      <c r="AE29" s="330"/>
      <c r="AF29" s="330"/>
      <c r="AG29" s="330"/>
      <c r="AH29" s="330"/>
      <c r="AI29" s="331"/>
      <c r="AJ29" s="220"/>
      <c r="AK29" s="248"/>
      <c r="AL29" s="373" t="str">
        <f>VLOOKUP(CONCATENATE("12",Konfiguration_Configuration!$N$6),Daten!$B$5:$E$99,2,FALSE)</f>
        <v xml:space="preserve">Zum Bestehen des 1. Teils braucht der Läufer die Punktzahl der BASE bei der Mehrheit der Preisrichter und bei der Mehrheit der Elemente. </v>
      </c>
      <c r="AM29" s="330"/>
      <c r="AN29" s="330"/>
      <c r="AO29" s="330"/>
      <c r="AP29" s="330"/>
      <c r="AQ29" s="330"/>
      <c r="AR29" s="330"/>
      <c r="AS29" s="330"/>
      <c r="AT29" s="330"/>
      <c r="AU29" s="330"/>
      <c r="AV29" s="330"/>
      <c r="AW29" s="330"/>
      <c r="AX29" s="330"/>
      <c r="AY29" s="330"/>
      <c r="AZ29" s="331"/>
      <c r="BA29" s="220"/>
      <c r="BB29" s="248"/>
      <c r="BC29" s="373" t="str">
        <f>VLOOKUP(CONCATENATE("12",Konfiguration_Configuration!$N$6),Daten!$B$5:$E$99,2,FALSE)</f>
        <v xml:space="preserve">Zum Bestehen des 1. Teils braucht der Läufer die Punktzahl der BASE bei der Mehrheit der Preisrichter und bei der Mehrheit der Elemente. </v>
      </c>
      <c r="BD29" s="330"/>
      <c r="BE29" s="330"/>
      <c r="BF29" s="330"/>
      <c r="BG29" s="330"/>
      <c r="BH29" s="330"/>
      <c r="BI29" s="330"/>
      <c r="BJ29" s="330"/>
      <c r="BK29" s="330"/>
      <c r="BL29" s="330"/>
      <c r="BM29" s="330"/>
      <c r="BN29" s="330"/>
      <c r="BO29" s="330"/>
      <c r="BP29" s="330"/>
      <c r="BQ29" s="331"/>
    </row>
    <row r="30" spans="1:72" ht="32.1" customHeight="1">
      <c r="A30" s="224" t="str">
        <f>VLOOKUP(CONCATENATE("11",Konfiguration_Configuration!N$6),Daten!B$5:C99,2,FALSE)</f>
        <v>Total pro Preisrichter</v>
      </c>
      <c r="B30" s="240">
        <f>VLOOKUP(CONCATENATE("10",Konfiguration_Configuration!$N$6),Daten!$B$5:$E$99,3,FALSE)</f>
        <v>5</v>
      </c>
      <c r="C30" s="176"/>
      <c r="D30" s="254" t="str">
        <f>VLOOKUP(CONCATENATE("13",Konfiguration_Configuration!$N$6),Daten!$B$5:$E$99,2,FALSE)</f>
        <v>1. Teil bestanden:  ja  nein</v>
      </c>
      <c r="E30" s="177"/>
      <c r="F30" s="146"/>
      <c r="G30" s="254" t="str">
        <f>VLOOKUP(CONCATENATE("13",Konfiguration_Configuration!$N$6),Daten!$B$5:$E$99,2,FALSE)</f>
        <v>1. Teil bestanden:  ja  nein</v>
      </c>
      <c r="H30" s="177"/>
      <c r="I30" s="146"/>
      <c r="J30" s="254" t="str">
        <f>VLOOKUP(CONCATENATE("13",Konfiguration_Configuration!$N$6),Daten!$B$5:$E$99,2,FALSE)</f>
        <v>1. Teil bestanden:  ja  nein</v>
      </c>
      <c r="K30" s="177"/>
      <c r="L30" s="146"/>
      <c r="M30" s="254" t="str">
        <f>VLOOKUP(CONCATENATE("13",Konfiguration_Configuration!$N$6),Daten!$B$5:$E$99,2,FALSE)</f>
        <v>1. Teil bestanden:  ja  nein</v>
      </c>
      <c r="N30" s="177"/>
      <c r="O30" s="146"/>
      <c r="P30" s="254" t="str">
        <f>VLOOKUP(CONCATENATE("13",Konfiguration_Configuration!$N$6),Daten!$B$5:$E$99,2,FALSE)</f>
        <v>1. Teil bestanden:  ja  nein</v>
      </c>
      <c r="Q30" s="177"/>
      <c r="R30" s="146"/>
      <c r="S30" s="240">
        <f>VLOOKUP(CONCATENATE("10",Konfiguration_Configuration!$N$6),Daten!$B$5:$E$99,3,FALSE)</f>
        <v>5</v>
      </c>
      <c r="T30" s="176"/>
      <c r="U30" s="254" t="str">
        <f>VLOOKUP(CONCATENATE("13",Konfiguration_Configuration!$N$6),Daten!$B$5:$E$99,2,FALSE)</f>
        <v>1. Teil bestanden:  ja  nein</v>
      </c>
      <c r="V30" s="177"/>
      <c r="W30" s="146"/>
      <c r="X30" s="254" t="str">
        <f>VLOOKUP(CONCATENATE("13",Konfiguration_Configuration!$N$6),Daten!$B$5:$E$99,2,FALSE)</f>
        <v>1. Teil bestanden:  ja  nein</v>
      </c>
      <c r="Y30" s="177"/>
      <c r="Z30" s="146"/>
      <c r="AA30" s="254" t="str">
        <f>VLOOKUP(CONCATENATE("13",Konfiguration_Configuration!$N$6),Daten!$B$5:$E$99,2,FALSE)</f>
        <v>1. Teil bestanden:  ja  nein</v>
      </c>
      <c r="AB30" s="177"/>
      <c r="AC30" s="146"/>
      <c r="AD30" s="254" t="str">
        <f>VLOOKUP(CONCATENATE("13",Konfiguration_Configuration!$N$6),Daten!$B$5:$E$99,2,FALSE)</f>
        <v>1. Teil bestanden:  ja  nein</v>
      </c>
      <c r="AE30" s="177"/>
      <c r="AF30" s="146"/>
      <c r="AG30" s="254" t="str">
        <f>VLOOKUP(CONCATENATE("13",Konfiguration_Configuration!$N$6),Daten!$B$5:$E$99,2,FALSE)</f>
        <v>1. Teil bestanden:  ja  nein</v>
      </c>
      <c r="AH30" s="177"/>
      <c r="AI30" s="146"/>
      <c r="AJ30" s="240">
        <f>VLOOKUP(CONCATENATE("10",Konfiguration_Configuration!$N$6),Daten!$B$5:$E$99,3,FALSE)</f>
        <v>5</v>
      </c>
      <c r="AK30" s="176"/>
      <c r="AL30" s="254" t="str">
        <f>VLOOKUP(CONCATENATE("13",Konfiguration_Configuration!$N$6),Daten!$B$5:$E$99,2,FALSE)</f>
        <v>1. Teil bestanden:  ja  nein</v>
      </c>
      <c r="AM30" s="177"/>
      <c r="AN30" s="146"/>
      <c r="AO30" s="254" t="str">
        <f>VLOOKUP(CONCATENATE("13",Konfiguration_Configuration!$N$6),Daten!$B$5:$E$99,2,FALSE)</f>
        <v>1. Teil bestanden:  ja  nein</v>
      </c>
      <c r="AP30" s="177"/>
      <c r="AQ30" s="146"/>
      <c r="AR30" s="254" t="str">
        <f>VLOOKUP(CONCATENATE("13",Konfiguration_Configuration!$N$6),Daten!$B$5:$E$99,2,FALSE)</f>
        <v>1. Teil bestanden:  ja  nein</v>
      </c>
      <c r="AS30" s="177"/>
      <c r="AT30" s="146"/>
      <c r="AU30" s="254" t="str">
        <f>VLOOKUP(CONCATENATE("13",Konfiguration_Configuration!$N$6),Daten!$B$5:$E$99,2,FALSE)</f>
        <v>1. Teil bestanden:  ja  nein</v>
      </c>
      <c r="AV30" s="177"/>
      <c r="AW30" s="146"/>
      <c r="AX30" s="254" t="str">
        <f>VLOOKUP(CONCATENATE("13",Konfiguration_Configuration!$N$6),Daten!$B$5:$E$99,2,FALSE)</f>
        <v>1. Teil bestanden:  ja  nein</v>
      </c>
      <c r="AY30" s="177"/>
      <c r="AZ30" s="146"/>
      <c r="BA30" s="240">
        <f>VLOOKUP(CONCATENATE("10",Konfiguration_Configuration!$N$6),Daten!$B$5:$E$99,3,FALSE)</f>
        <v>5</v>
      </c>
      <c r="BB30" s="176"/>
      <c r="BC30" s="254" t="str">
        <f>VLOOKUP(CONCATENATE("13",Konfiguration_Configuration!$N$6),Daten!$B$5:$E$99,2,FALSE)</f>
        <v>1. Teil bestanden:  ja  nein</v>
      </c>
      <c r="BD30" s="177"/>
      <c r="BE30" s="146"/>
      <c r="BF30" s="254" t="str">
        <f>VLOOKUP(CONCATENATE("13",Konfiguration_Configuration!$N$6),Daten!$B$5:$E$99,2,FALSE)</f>
        <v>1. Teil bestanden:  ja  nein</v>
      </c>
      <c r="BG30" s="177"/>
      <c r="BH30" s="146"/>
      <c r="BI30" s="254" t="str">
        <f>VLOOKUP(CONCATENATE("13",Konfiguration_Configuration!$N$6),Daten!$B$5:$E$99,2,FALSE)</f>
        <v>1. Teil bestanden:  ja  nein</v>
      </c>
      <c r="BJ30" s="177"/>
      <c r="BK30" s="146"/>
      <c r="BL30" s="254" t="str">
        <f>VLOOKUP(CONCATENATE("13",Konfiguration_Configuration!$N$6),Daten!$B$5:$E$99,2,FALSE)</f>
        <v>1. Teil bestanden:  ja  nein</v>
      </c>
      <c r="BM30" s="177"/>
      <c r="BN30" s="146"/>
      <c r="BO30" s="254" t="str">
        <f>VLOOKUP(CONCATENATE("13",Konfiguration_Configuration!$N$6),Daten!$B$5:$E$99,2,FALSE)</f>
        <v>1. Teil bestanden:  ja  nein</v>
      </c>
      <c r="BP30" s="177"/>
      <c r="BQ30" s="146"/>
      <c r="BT30" s="58"/>
    </row>
    <row r="31" spans="1:72" ht="27.75" customHeight="1">
      <c r="A31" s="374" t="str">
        <f>Lizenzvermerk</f>
        <v>Version 1.3;
06.01.2024</v>
      </c>
      <c r="B31" s="370"/>
      <c r="C31" s="370"/>
      <c r="E31" s="375" t="str">
        <f>VLOOKUP(CONCATENATE("56",Konfiguration_Configuration!N$6),Daten!B$5:E$99,2,FALSE)</f>
        <v>Unterschrift des Preisrichters __________________________________</v>
      </c>
      <c r="F31" s="376"/>
      <c r="G31" s="376"/>
      <c r="H31" s="376"/>
      <c r="I31" s="376"/>
      <c r="J31" s="376"/>
      <c r="K31" s="376"/>
      <c r="L31" s="376"/>
      <c r="M31" s="376"/>
      <c r="N31" s="376"/>
      <c r="O31" s="376"/>
      <c r="S31" s="374" t="str">
        <f>Lizenzvermerk</f>
        <v>Version 1.3;
06.01.2024</v>
      </c>
      <c r="T31" s="370"/>
      <c r="U31" s="370"/>
      <c r="W31" s="375" t="str">
        <f>VLOOKUP(CONCATENATE("56",Konfiguration_Configuration!N$6),Daten!B$5:E$99,2,FALSE)</f>
        <v>Unterschrift des Preisrichters __________________________________</v>
      </c>
      <c r="X31" s="376"/>
      <c r="Y31" s="376"/>
      <c r="Z31" s="376"/>
      <c r="AA31" s="376"/>
      <c r="AB31" s="376"/>
      <c r="AC31" s="376"/>
      <c r="AD31" s="376"/>
      <c r="AE31" s="376"/>
      <c r="AF31" s="376"/>
      <c r="AG31" s="376"/>
      <c r="AJ31" s="374" t="str">
        <f>Lizenzvermerk</f>
        <v>Version 1.3;
06.01.2024</v>
      </c>
      <c r="AK31" s="370"/>
      <c r="AL31" s="370"/>
      <c r="AN31" s="375" t="str">
        <f>VLOOKUP(CONCATENATE("56",Konfiguration_Configuration!N$6),Daten!B$5:E$99,2,FALSE)</f>
        <v>Unterschrift des Preisrichters __________________________________</v>
      </c>
      <c r="AO31" s="376"/>
      <c r="AP31" s="376"/>
      <c r="AQ31" s="376"/>
      <c r="AR31" s="376"/>
      <c r="AS31" s="376"/>
      <c r="AT31" s="376"/>
      <c r="AU31" s="376"/>
      <c r="AV31" s="376"/>
      <c r="AW31" s="376"/>
      <c r="AX31" s="376"/>
      <c r="BA31" s="374" t="str">
        <f>Lizenzvermerk</f>
        <v>Version 1.3;
06.01.2024</v>
      </c>
      <c r="BB31" s="370"/>
      <c r="BC31" s="370"/>
      <c r="BE31" s="375" t="str">
        <f>VLOOKUP(CONCATENATE("56",Konfiguration_Configuration!N$6),Daten!B$5:E$99,2,FALSE)</f>
        <v>Unterschrift des Preisrichters __________________________________</v>
      </c>
      <c r="BF31" s="376"/>
      <c r="BG31" s="376"/>
      <c r="BH31" s="376"/>
      <c r="BI31" s="376"/>
      <c r="BJ31" s="376"/>
      <c r="BK31" s="376"/>
      <c r="BL31" s="376"/>
      <c r="BM31" s="376"/>
      <c r="BN31" s="376"/>
      <c r="BO31" s="376"/>
    </row>
    <row r="32" spans="1:72" s="17" customFormat="1" ht="24.9" customHeight="1">
      <c r="A32" s="193"/>
      <c r="B32" s="121"/>
      <c r="C32" s="121"/>
      <c r="D32" s="121"/>
      <c r="E32" s="122"/>
      <c r="F32" s="122"/>
      <c r="K32" s="123"/>
      <c r="L32" s="123"/>
      <c r="S32" s="121"/>
      <c r="T32" s="121"/>
      <c r="AJ32" s="121"/>
      <c r="AK32" s="121"/>
      <c r="BA32" s="121"/>
      <c r="BB32" s="121"/>
      <c r="BS32" s="26"/>
      <c r="BT32" s="26"/>
    </row>
    <row r="33" spans="1:73" s="18" customFormat="1" ht="15.75" customHeight="1">
      <c r="A33" s="114"/>
      <c r="B33" s="114"/>
      <c r="C33" s="114"/>
      <c r="D33" s="125" t="s">
        <v>197</v>
      </c>
      <c r="E33" s="125"/>
      <c r="F33" s="125"/>
      <c r="S33" s="114"/>
      <c r="T33" s="114"/>
      <c r="AJ33" s="114"/>
      <c r="AK33" s="114"/>
      <c r="BA33" s="114"/>
      <c r="BB33" s="114"/>
      <c r="BS33" s="55"/>
      <c r="BT33" s="55"/>
    </row>
    <row r="34" spans="1:73" ht="15.6">
      <c r="A34" s="126" t="str">
        <f>Konfiguration_Configuration!E$3</f>
        <v>Testname</v>
      </c>
      <c r="B34" s="127" t="str">
        <f>IF(Konfiguration_Configuration!$B$3="","",Konfiguration_Configuration!$B$3)</f>
        <v>SIS Inter-Bronze Stiltest</v>
      </c>
      <c r="C34" s="127"/>
      <c r="D34" s="127"/>
      <c r="E34" s="126"/>
      <c r="F34" s="126"/>
      <c r="G34" s="252" t="str">
        <f>Konfiguration_Configuration!J$12</f>
        <v>SchiedsrichterIn</v>
      </c>
      <c r="H34" s="178" t="str">
        <f>IF(Konfiguration_Configuration!$B$12="","",Konfiguration_Configuration!$B$12)&amp;IF(Konfiguration_Configuration!$E$12="","",", "&amp;Konfiguration_Configuration!$E$12)&amp;IF(Konfiguration_Configuration!$H$12="","",CONCATENATE(" (",Konfiguration_Configuration!$H$11," ",Konfiguration_Configuration!$H$12&amp;")"))</f>
        <v/>
      </c>
      <c r="I34" s="178"/>
      <c r="J34" s="178"/>
      <c r="S34" s="127" t="str">
        <f>IF(Konfiguration_Configuration!$B$3="","",Konfiguration_Configuration!$B$3)</f>
        <v>SIS Inter-Bronze Stiltest</v>
      </c>
      <c r="T34" s="127"/>
      <c r="U34" s="147"/>
      <c r="V34" s="147"/>
      <c r="X34" s="252" t="str">
        <f>Konfiguration_Configuration!$J$12</f>
        <v>SchiedsrichterIn</v>
      </c>
      <c r="Y34" s="178" t="str">
        <f>H34</f>
        <v/>
      </c>
      <c r="Z34" s="178"/>
      <c r="AA34" s="178"/>
      <c r="AJ34" s="127" t="str">
        <f>IF(Konfiguration_Configuration!$B$3="","",Konfiguration_Configuration!$B$3)</f>
        <v>SIS Inter-Bronze Stiltest</v>
      </c>
      <c r="AK34" s="127"/>
      <c r="AL34" s="147"/>
      <c r="AM34" s="147"/>
      <c r="AO34" s="252" t="str">
        <f>Konfiguration_Configuration!$J$12</f>
        <v>SchiedsrichterIn</v>
      </c>
      <c r="AP34" s="178" t="str">
        <f>H34</f>
        <v/>
      </c>
      <c r="AQ34" s="178"/>
      <c r="AR34" s="178"/>
      <c r="BA34" s="127" t="str">
        <f>IF(Konfiguration_Configuration!$B$3="","",Konfiguration_Configuration!$B$3)</f>
        <v>SIS Inter-Bronze Stiltest</v>
      </c>
      <c r="BB34" s="127"/>
      <c r="BC34" s="147"/>
      <c r="BD34" s="147"/>
      <c r="BF34" s="252" t="str">
        <f>Konfiguration_Configuration!$J$12</f>
        <v>SchiedsrichterIn</v>
      </c>
      <c r="BG34" s="178" t="str">
        <f>H34</f>
        <v/>
      </c>
      <c r="BH34" s="178"/>
      <c r="BI34"/>
    </row>
    <row r="35" spans="1:73" ht="15" customHeight="1">
      <c r="A35" s="126" t="str">
        <f>Konfiguration_Configuration!E$4</f>
        <v>Austragungsort</v>
      </c>
      <c r="B35" s="127" t="str">
        <f>IF(Konfiguration_Configuration!$B$4="","",Konfiguration_Configuration!$B$4)</f>
        <v/>
      </c>
      <c r="C35" s="127"/>
      <c r="D35" s="127"/>
      <c r="E35" s="126"/>
      <c r="F35" s="126"/>
      <c r="G35" s="128" t="str">
        <f>Konfiguration_Configuration!J$13</f>
        <v>PreisrichterIn 2</v>
      </c>
      <c r="H35" s="178" t="str">
        <f>IF(Konfiguration_Configuration!$B$13="","",Konfiguration_Configuration!$B$13)&amp;IF(Konfiguration_Configuration!$E$13="","",", "&amp;Konfiguration_Configuration!$E$13)&amp;IF(Konfiguration_Configuration!$H$13="","",CONCATENATE(" (",Konfiguration_Configuration!$H$11," ",Konfiguration_Configuration!$H$13&amp;")"))</f>
        <v/>
      </c>
      <c r="I35" s="178"/>
      <c r="J35" s="178"/>
      <c r="S35" s="127" t="str">
        <f>IF(Konfiguration_Configuration!$B$4="","",Konfiguration_Configuration!$B$4)</f>
        <v/>
      </c>
      <c r="T35" s="127"/>
      <c r="U35" s="147"/>
      <c r="V35" s="147"/>
      <c r="X35" s="128" t="str">
        <f>Konfiguration_Configuration!$J$13</f>
        <v>PreisrichterIn 2</v>
      </c>
      <c r="Y35" s="178" t="str">
        <f t="shared" ref="Y35:Y37" si="4">H35</f>
        <v/>
      </c>
      <c r="Z35" s="178"/>
      <c r="AA35" s="178"/>
      <c r="AJ35" s="127" t="str">
        <f>IF(Konfiguration_Configuration!$B$4="","",Konfiguration_Configuration!$B$4)</f>
        <v/>
      </c>
      <c r="AK35" s="127"/>
      <c r="AL35" s="147"/>
      <c r="AM35" s="147"/>
      <c r="AO35" s="128" t="str">
        <f>Konfiguration_Configuration!$J$13</f>
        <v>PreisrichterIn 2</v>
      </c>
      <c r="AP35" s="178" t="str">
        <f t="shared" ref="AP35:AP37" si="5">H35</f>
        <v/>
      </c>
      <c r="AQ35" s="178"/>
      <c r="AR35" s="178"/>
      <c r="BA35" s="127" t="str">
        <f>IF(Konfiguration_Configuration!$B$4="","",Konfiguration_Configuration!$B$4)</f>
        <v/>
      </c>
      <c r="BB35" s="127"/>
      <c r="BC35" s="147"/>
      <c r="BD35" s="147"/>
      <c r="BF35" s="128" t="str">
        <f>Konfiguration_Configuration!$J$13</f>
        <v>PreisrichterIn 2</v>
      </c>
      <c r="BG35" s="178" t="str">
        <f t="shared" ref="BG35:BG37" si="6">H35</f>
        <v/>
      </c>
      <c r="BH35" s="178"/>
      <c r="BI35"/>
      <c r="BS35" s="56"/>
      <c r="BT35" s="56"/>
      <c r="BU35" s="130"/>
    </row>
    <row r="36" spans="1:73" ht="15.6">
      <c r="A36" s="126" t="str">
        <f>Konfiguration_Configuration!E$5</f>
        <v>Datum</v>
      </c>
      <c r="B36" s="364" t="str">
        <f>IF(Konfiguration_Configuration!$B$5="","",Konfiguration_Configuration!$B$5)</f>
        <v/>
      </c>
      <c r="C36" s="357"/>
      <c r="D36" s="127"/>
      <c r="E36" s="126"/>
      <c r="F36" s="126"/>
      <c r="G36" s="128" t="str">
        <f>Konfiguration_Configuration!J$14</f>
        <v>PreisrichterIn 3</v>
      </c>
      <c r="H36" s="178" t="str">
        <f>IF(Konfiguration_Configuration!$B$14="","",Konfiguration_Configuration!$B$14)&amp;IF(Konfiguration_Configuration!$E$14="","",", "&amp;Konfiguration_Configuration!$E$14)&amp;IF(Konfiguration_Configuration!$H$14="","",CONCATENATE(" (",Konfiguration_Configuration!$H$11," ",Konfiguration_Configuration!$H$14&amp;")"))</f>
        <v/>
      </c>
      <c r="I36" s="178"/>
      <c r="J36" s="178"/>
      <c r="S36" s="356" t="str">
        <f>IF(Konfiguration_Configuration!$B$5="","",Konfiguration_Configuration!$B$5)</f>
        <v/>
      </c>
      <c r="T36" s="357"/>
      <c r="U36" s="147"/>
      <c r="V36" s="147"/>
      <c r="X36" s="128" t="str">
        <f>Konfiguration_Configuration!$J$14</f>
        <v>PreisrichterIn 3</v>
      </c>
      <c r="Y36" s="178" t="str">
        <f t="shared" si="4"/>
        <v/>
      </c>
      <c r="Z36" s="178"/>
      <c r="AA36" s="178"/>
      <c r="AJ36" s="356" t="str">
        <f>IF(Konfiguration_Configuration!$B$5="","",Konfiguration_Configuration!$B$5)</f>
        <v/>
      </c>
      <c r="AK36" s="357"/>
      <c r="AL36" s="147"/>
      <c r="AM36" s="147"/>
      <c r="AO36" s="128" t="str">
        <f>Konfiguration_Configuration!$J$14</f>
        <v>PreisrichterIn 3</v>
      </c>
      <c r="AP36" s="178" t="str">
        <f t="shared" si="5"/>
        <v/>
      </c>
      <c r="AQ36" s="178"/>
      <c r="AR36" s="178"/>
      <c r="BA36" s="356" t="str">
        <f>IF(Konfiguration_Configuration!$B$5="","",Konfiguration_Configuration!$B$5)</f>
        <v/>
      </c>
      <c r="BB36" s="357"/>
      <c r="BC36" s="147"/>
      <c r="BD36" s="147"/>
      <c r="BF36" s="128" t="str">
        <f>Konfiguration_Configuration!$J$14</f>
        <v>PreisrichterIn 3</v>
      </c>
      <c r="BG36" s="178" t="str">
        <f t="shared" si="6"/>
        <v/>
      </c>
      <c r="BH36" s="178"/>
      <c r="BI36"/>
      <c r="BT36" s="56"/>
      <c r="BU36" s="130"/>
    </row>
    <row r="37" spans="1:73" ht="15.6">
      <c r="A37" s="126" t="str">
        <f>Konfiguration_Configuration!E$6</f>
        <v>Testklasse</v>
      </c>
      <c r="B37" s="127">
        <f>IF(Konfiguration_Configuration!$B$6="","",Konfiguration_Configuration!$B$6)</f>
        <v>6</v>
      </c>
      <c r="C37" s="127"/>
      <c r="D37" s="127"/>
      <c r="E37" s="126"/>
      <c r="F37" s="126"/>
      <c r="G37" s="128" t="str">
        <f>Konfiguration_Configuration!J$15</f>
        <v>Verantwortliche/r der Tests</v>
      </c>
      <c r="H37" s="178" t="str">
        <f>IF(Konfiguration_Configuration!$B$15="","",Konfiguration_Configuration!$B$15)&amp;IF(Konfiguration_Configuration!$E$15="","",", "&amp;Konfiguration_Configuration!$E$15)&amp;IF(Konfiguration_Configuration!$H$15="","",CONCATENATE(" (",Konfiguration_Configuration!$H$11," ",Konfiguration_Configuration!$H$15&amp;")"))</f>
        <v/>
      </c>
      <c r="I37" s="178"/>
      <c r="J37" s="178"/>
      <c r="S37" s="127">
        <f>IF(Konfiguration_Configuration!$B$6="","",Konfiguration_Configuration!$B$6)</f>
        <v>6</v>
      </c>
      <c r="T37" s="127"/>
      <c r="U37" s="147"/>
      <c r="V37" s="147"/>
      <c r="X37" s="128" t="str">
        <f>Konfiguration_Configuration!$J$15</f>
        <v>Verantwortliche/r der Tests</v>
      </c>
      <c r="Y37" s="178" t="str">
        <f t="shared" si="4"/>
        <v/>
      </c>
      <c r="Z37" s="178"/>
      <c r="AA37" s="178"/>
      <c r="AJ37" s="127">
        <f>IF(Konfiguration_Configuration!$B$6="","",Konfiguration_Configuration!$B$6)</f>
        <v>6</v>
      </c>
      <c r="AK37" s="127"/>
      <c r="AL37" s="147"/>
      <c r="AM37" s="147"/>
      <c r="AO37" s="128" t="str">
        <f>Konfiguration_Configuration!$J$15</f>
        <v>Verantwortliche/r der Tests</v>
      </c>
      <c r="AP37" s="178" t="str">
        <f t="shared" si="5"/>
        <v/>
      </c>
      <c r="AQ37" s="178"/>
      <c r="AR37" s="178"/>
      <c r="BA37" s="127">
        <f>IF(Konfiguration_Configuration!$B$6="","",Konfiguration_Configuration!$B$6)</f>
        <v>6</v>
      </c>
      <c r="BB37" s="127"/>
      <c r="BC37" s="147"/>
      <c r="BD37" s="147"/>
      <c r="BF37" s="128" t="str">
        <f>Konfiguration_Configuration!$J$15</f>
        <v>Verantwortliche/r der Tests</v>
      </c>
      <c r="BG37" s="178" t="str">
        <f t="shared" si="6"/>
        <v/>
      </c>
      <c r="BH37" s="178"/>
      <c r="BI37"/>
      <c r="BT37" s="56"/>
      <c r="BU37" s="130"/>
    </row>
    <row r="38" spans="1:73" ht="15" customHeight="1" collapsed="1">
      <c r="A38" s="124"/>
      <c r="B38" s="124"/>
      <c r="C38" s="124"/>
      <c r="D38" s="126"/>
      <c r="E38" s="126"/>
      <c r="F38" s="126"/>
      <c r="G38" s="128"/>
      <c r="H38" s="128"/>
      <c r="I38" s="128"/>
      <c r="Q38" s="157"/>
      <c r="R38" s="157"/>
      <c r="S38" s="124"/>
      <c r="T38" s="124"/>
      <c r="AH38" s="157"/>
      <c r="AI38" s="157"/>
      <c r="AJ38" s="124"/>
      <c r="AK38" s="124"/>
      <c r="AY38" s="171"/>
      <c r="BA38" s="124"/>
      <c r="BB38" s="124"/>
      <c r="BP38" s="157"/>
      <c r="BQ38" s="157"/>
      <c r="BT38" s="56"/>
      <c r="BU38" s="130"/>
    </row>
    <row r="39" spans="1:73" s="54" customFormat="1" ht="15" hidden="1" customHeight="1" outlineLevel="1">
      <c r="A39" s="57" t="s">
        <v>198</v>
      </c>
      <c r="B39" s="57"/>
      <c r="C39" s="57" t="s">
        <v>199</v>
      </c>
      <c r="D39" s="57" t="s">
        <v>200</v>
      </c>
      <c r="E39" s="57"/>
      <c r="F39" s="57"/>
      <c r="G39" s="57" t="s">
        <v>201</v>
      </c>
      <c r="H39" s="57"/>
      <c r="I39" s="57"/>
      <c r="J39" s="57" t="s">
        <v>202</v>
      </c>
      <c r="K39" s="57"/>
      <c r="L39" s="57"/>
      <c r="M39" s="57" t="s">
        <v>203</v>
      </c>
      <c r="N39" s="57"/>
      <c r="O39" s="57"/>
      <c r="P39" s="57" t="s">
        <v>204</v>
      </c>
      <c r="Q39" s="57"/>
      <c r="R39" s="57"/>
      <c r="S39" s="57"/>
      <c r="T39" s="57"/>
      <c r="U39" s="57" t="s">
        <v>205</v>
      </c>
      <c r="V39" s="57"/>
      <c r="W39" s="57"/>
      <c r="X39" s="57" t="s">
        <v>206</v>
      </c>
      <c r="Y39" s="57"/>
      <c r="Z39" s="57"/>
      <c r="AA39" s="57" t="s">
        <v>207</v>
      </c>
      <c r="AB39" s="57"/>
      <c r="AC39" s="57"/>
      <c r="AD39" s="57" t="s">
        <v>208</v>
      </c>
      <c r="AE39" s="57"/>
      <c r="AF39" s="57"/>
      <c r="AG39" s="57" t="s">
        <v>209</v>
      </c>
      <c r="AH39" s="57"/>
      <c r="AI39" s="57"/>
      <c r="AL39" s="57" t="s">
        <v>210</v>
      </c>
      <c r="AM39" s="57"/>
      <c r="AN39" s="57"/>
      <c r="AO39" s="57" t="s">
        <v>211</v>
      </c>
      <c r="AP39" s="57"/>
      <c r="AQ39" s="57"/>
      <c r="AR39" s="57" t="s">
        <v>212</v>
      </c>
      <c r="AS39" s="57"/>
      <c r="AT39" s="57"/>
      <c r="AU39" s="57" t="s">
        <v>213</v>
      </c>
      <c r="AV39" s="57"/>
      <c r="AW39" s="57"/>
      <c r="AX39" s="57" t="s">
        <v>214</v>
      </c>
      <c r="AY39" s="57"/>
      <c r="AZ39" s="57"/>
      <c r="BC39" s="57" t="s">
        <v>215</v>
      </c>
      <c r="BD39" s="57"/>
      <c r="BE39" s="57"/>
      <c r="BF39" s="57" t="s">
        <v>216</v>
      </c>
      <c r="BG39" s="57"/>
      <c r="BH39" s="57"/>
      <c r="BI39" s="57" t="s">
        <v>217</v>
      </c>
      <c r="BJ39" s="57"/>
      <c r="BK39" s="57"/>
      <c r="BL39" s="57" t="s">
        <v>218</v>
      </c>
      <c r="BM39" s="57"/>
      <c r="BN39" s="57"/>
      <c r="BO39" s="57" t="s">
        <v>219</v>
      </c>
      <c r="BP39" s="85"/>
      <c r="BQ39" s="85"/>
    </row>
    <row r="40" spans="1:73" s="54" customFormat="1" ht="15" hidden="1" customHeight="1" outlineLevel="1">
      <c r="A40" s="57" t="s">
        <v>220</v>
      </c>
      <c r="B40" s="70"/>
      <c r="C40" s="182" t="s">
        <v>221</v>
      </c>
      <c r="D40" s="182" t="s">
        <v>222</v>
      </c>
      <c r="E40" s="70"/>
      <c r="F40" s="70"/>
      <c r="G40" s="182" t="s">
        <v>223</v>
      </c>
      <c r="H40" s="70"/>
      <c r="I40" s="70"/>
      <c r="J40" s="182" t="s">
        <v>224</v>
      </c>
      <c r="K40" s="70"/>
      <c r="L40" s="70"/>
      <c r="M40" s="182" t="s">
        <v>225</v>
      </c>
      <c r="N40" s="70"/>
      <c r="O40" s="70"/>
      <c r="P40" s="182" t="s">
        <v>226</v>
      </c>
      <c r="Q40" s="70"/>
      <c r="R40" s="70"/>
      <c r="U40" s="182" t="s">
        <v>227</v>
      </c>
      <c r="V40" s="70"/>
      <c r="W40" s="70"/>
      <c r="X40" s="182" t="s">
        <v>228</v>
      </c>
      <c r="Y40" s="70"/>
      <c r="Z40" s="70"/>
      <c r="AA40" s="182" t="s">
        <v>229</v>
      </c>
      <c r="AB40" s="70"/>
      <c r="AC40" s="70"/>
      <c r="AD40" s="182" t="s">
        <v>230</v>
      </c>
      <c r="AE40" s="70"/>
      <c r="AF40" s="70"/>
      <c r="AG40" s="182" t="s">
        <v>231</v>
      </c>
      <c r="AH40" s="70"/>
      <c r="AI40" s="70"/>
      <c r="AL40" s="182" t="s">
        <v>232</v>
      </c>
      <c r="AM40" s="70"/>
      <c r="AN40" s="70"/>
      <c r="AO40" s="182" t="s">
        <v>233</v>
      </c>
      <c r="AP40" s="70"/>
      <c r="AQ40" s="70"/>
      <c r="AR40" s="182" t="s">
        <v>234</v>
      </c>
      <c r="AS40" s="70"/>
      <c r="AT40" s="70"/>
      <c r="AU40" s="182" t="s">
        <v>235</v>
      </c>
      <c r="AV40" s="70"/>
      <c r="AW40" s="70"/>
      <c r="AX40" s="182" t="s">
        <v>236</v>
      </c>
      <c r="AY40" s="70"/>
      <c r="AZ40" s="70"/>
      <c r="BC40" s="182" t="s">
        <v>237</v>
      </c>
      <c r="BD40" s="70"/>
      <c r="BE40" s="70"/>
      <c r="BF40" s="182" t="s">
        <v>238</v>
      </c>
      <c r="BG40" s="70"/>
      <c r="BH40" s="70"/>
      <c r="BI40" s="182" t="s">
        <v>239</v>
      </c>
      <c r="BJ40" s="70"/>
      <c r="BK40" s="70"/>
      <c r="BL40" s="182" t="s">
        <v>240</v>
      </c>
      <c r="BM40" s="70"/>
      <c r="BN40" s="70"/>
      <c r="BO40" s="182" t="s">
        <v>241</v>
      </c>
      <c r="BP40" s="115"/>
      <c r="BQ40" s="115"/>
    </row>
    <row r="41" spans="1:73" ht="15" customHeight="1">
      <c r="D41" s="156" t="str">
        <f>IF(Konfiguration_Configuration!$B$2=Konfiguration_Configuration!$L$1,'Notizenblatt_Feuille de juge'!D39,'Notizenblatt_Feuille de juge'!D40)</f>
        <v>TN1</v>
      </c>
      <c r="E41" s="156"/>
      <c r="F41" s="156"/>
      <c r="G41" s="156" t="str">
        <f>IF(Konfiguration_Configuration!$B$2=Konfiguration_Configuration!$L$1,'Notizenblatt_Feuille de juge'!G39,'Notizenblatt_Feuille de juge'!G40)</f>
        <v>TN2</v>
      </c>
      <c r="H41" s="156"/>
      <c r="I41" s="156"/>
      <c r="J41" s="156" t="str">
        <f>IF(Konfiguration_Configuration!$B$2=Konfiguration_Configuration!$L$1,'Notizenblatt_Feuille de juge'!J39,'Notizenblatt_Feuille de juge'!J40)</f>
        <v>TN3</v>
      </c>
      <c r="K41" s="156"/>
      <c r="L41" s="156"/>
      <c r="M41" s="156" t="str">
        <f>IF(Konfiguration_Configuration!$B$2=Konfiguration_Configuration!$L$1,'Notizenblatt_Feuille de juge'!M39,'Notizenblatt_Feuille de juge'!M40)</f>
        <v>TN4</v>
      </c>
      <c r="N41" s="156"/>
      <c r="O41" s="156"/>
      <c r="P41" s="156" t="str">
        <f>IF(Konfiguration_Configuration!$B$2=Konfiguration_Configuration!$L$1,'Notizenblatt_Feuille de juge'!P39,'Notizenblatt_Feuille de juge'!P40)</f>
        <v>TN5</v>
      </c>
      <c r="Q41" s="156"/>
      <c r="R41" s="156"/>
      <c r="U41" s="156" t="str">
        <f>IF(Konfiguration_Configuration!$B$2=Konfiguration_Configuration!$L$1,'Notizenblatt_Feuille de juge'!U39,'Notizenblatt_Feuille de juge'!U40)</f>
        <v>TN6</v>
      </c>
      <c r="V41" s="156"/>
      <c r="W41" s="156"/>
      <c r="X41" s="156" t="str">
        <f>IF(Konfiguration_Configuration!$B$2=Konfiguration_Configuration!$L$1,'Notizenblatt_Feuille de juge'!X39,'Notizenblatt_Feuille de juge'!X40)</f>
        <v>TN7</v>
      </c>
      <c r="Y41" s="156"/>
      <c r="Z41" s="156"/>
      <c r="AA41" s="156" t="str">
        <f>IF(Konfiguration_Configuration!$B$2=Konfiguration_Configuration!$L$1,'Notizenblatt_Feuille de juge'!AA39,'Notizenblatt_Feuille de juge'!AA40)</f>
        <v>TN8</v>
      </c>
      <c r="AB41" s="156"/>
      <c r="AC41" s="156"/>
      <c r="AD41" s="156" t="str">
        <f>IF(Konfiguration_Configuration!$B$2=Konfiguration_Configuration!$L$1,'Notizenblatt_Feuille de juge'!AD39,'Notizenblatt_Feuille de juge'!AD40)</f>
        <v>TN9</v>
      </c>
      <c r="AE41" s="156"/>
      <c r="AF41" s="156"/>
      <c r="AG41" s="156" t="str">
        <f>IF(Konfiguration_Configuration!$B$2=Konfiguration_Configuration!$L$1,'Notizenblatt_Feuille de juge'!AG39,'Notizenblatt_Feuille de juge'!AG40)</f>
        <v>TN10</v>
      </c>
      <c r="AH41" s="156"/>
      <c r="AI41" s="156"/>
      <c r="AL41" s="156" t="str">
        <f>IF(Konfiguration_Configuration!$B$2=Konfiguration_Configuration!$L$1,'Notizenblatt_Feuille de juge'!AL39,'Notizenblatt_Feuille de juge'!AL40)</f>
        <v>TN11</v>
      </c>
      <c r="AM41" s="156"/>
      <c r="AN41" s="156"/>
      <c r="AO41" s="156" t="str">
        <f>IF(Konfiguration_Configuration!$B$2=Konfiguration_Configuration!$L$1,'Notizenblatt_Feuille de juge'!AO39,'Notizenblatt_Feuille de juge'!AO40)</f>
        <v>TN12</v>
      </c>
      <c r="AP41" s="156"/>
      <c r="AQ41" s="156"/>
      <c r="AR41" s="156" t="str">
        <f>IF(Konfiguration_Configuration!$B$2=Konfiguration_Configuration!$L$1,'Notizenblatt_Feuille de juge'!AR39,'Notizenblatt_Feuille de juge'!AR40)</f>
        <v>TN13</v>
      </c>
      <c r="AS41" s="156"/>
      <c r="AT41" s="156"/>
      <c r="AU41" s="156" t="str">
        <f>IF(Konfiguration_Configuration!$B$2=Konfiguration_Configuration!$L$1,'Notizenblatt_Feuille de juge'!AU39,'Notizenblatt_Feuille de juge'!AU40)</f>
        <v>TN14</v>
      </c>
      <c r="AV41" s="156"/>
      <c r="AW41" s="156"/>
      <c r="AX41" s="156" t="str">
        <f>IF(Konfiguration_Configuration!$B$2=Konfiguration_Configuration!$L$1,'Notizenblatt_Feuille de juge'!AX39,'Notizenblatt_Feuille de juge'!AX40)</f>
        <v>TN15</v>
      </c>
      <c r="AY41" s="156"/>
      <c r="AZ41" s="156"/>
      <c r="BC41" s="156" t="str">
        <f>IF(Konfiguration_Configuration!$B$2=Konfiguration_Configuration!$L$1,'Notizenblatt_Feuille de juge'!BC39,'Notizenblatt_Feuille de juge'!BC40)</f>
        <v>TN16</v>
      </c>
      <c r="BD41" s="156"/>
      <c r="BE41" s="156"/>
      <c r="BF41" s="156" t="str">
        <f>IF(Konfiguration_Configuration!$B$2=Konfiguration_Configuration!$L$1,'Notizenblatt_Feuille de juge'!BF39,'Notizenblatt_Feuille de juge'!BF40)</f>
        <v>TN17</v>
      </c>
      <c r="BG41" s="156"/>
      <c r="BH41" s="156"/>
      <c r="BI41" s="156" t="str">
        <f>IF(Konfiguration_Configuration!$B$2=Konfiguration_Configuration!$L$1,'Notizenblatt_Feuille de juge'!BI39,'Notizenblatt_Feuille de juge'!BI40)</f>
        <v>TN18</v>
      </c>
      <c r="BJ41" s="156"/>
      <c r="BK41" s="156"/>
      <c r="BL41" s="156" t="str">
        <f>IF(Konfiguration_Configuration!$B$2=Konfiguration_Configuration!$L$1,'Notizenblatt_Feuille de juge'!BL39,'Notizenblatt_Feuille de juge'!BL40)</f>
        <v>TN19</v>
      </c>
      <c r="BM41" s="156"/>
      <c r="BN41" s="156"/>
      <c r="BO41" s="156" t="str">
        <f>IF(Konfiguration_Configuration!$B$2=Konfiguration_Configuration!$L$1,'Notizenblatt_Feuille de juge'!BO39,'Notizenblatt_Feuille de juge'!BO40)</f>
        <v>TN20</v>
      </c>
      <c r="BP41" s="156"/>
      <c r="BQ41" s="156"/>
    </row>
    <row r="42" spans="1:73" ht="21" customHeight="1">
      <c r="A42" s="148"/>
      <c r="B42" s="172" t="str">
        <f>Konfiguration_Configuration!B$21</f>
        <v>Name</v>
      </c>
      <c r="C42" s="159"/>
      <c r="D42" s="173" t="str">
        <f>IF(Konfiguration_Configuration!$B$22="","",Konfiguration_Configuration!$B$22)</f>
        <v/>
      </c>
      <c r="E42" s="173"/>
      <c r="F42" s="174"/>
      <c r="G42" s="162" t="str">
        <f>IF(Konfiguration_Configuration!$B$23="","",Konfiguration_Configuration!$B$23)</f>
        <v/>
      </c>
      <c r="H42" s="163"/>
      <c r="I42" s="164"/>
      <c r="J42" s="162" t="str">
        <f>IF(Konfiguration_Configuration!$B$24="","",Konfiguration_Configuration!$B$24)</f>
        <v/>
      </c>
      <c r="K42" s="163"/>
      <c r="L42" s="164"/>
      <c r="M42" s="162" t="str">
        <f>IF(Konfiguration_Configuration!$B$25="","",Konfiguration_Configuration!$B$25)</f>
        <v/>
      </c>
      <c r="N42" s="163"/>
      <c r="O42" s="164"/>
      <c r="P42" s="162" t="str">
        <f>IF(Konfiguration_Configuration!$B$26="","",Konfiguration_Configuration!$B$26)</f>
        <v/>
      </c>
      <c r="Q42" s="163"/>
      <c r="R42" s="164"/>
      <c r="S42" s="158" t="str">
        <f>B42</f>
        <v>Name</v>
      </c>
      <c r="T42" s="159"/>
      <c r="U42" s="162" t="str">
        <f>IF(Konfiguration_Configuration!$B$27="","",Konfiguration_Configuration!$B$27)</f>
        <v/>
      </c>
      <c r="V42" s="163"/>
      <c r="W42" s="164"/>
      <c r="X42" s="162" t="str">
        <f>IF(Konfiguration_Configuration!$B$28="","",Konfiguration_Configuration!$B$28)</f>
        <v/>
      </c>
      <c r="Y42" s="163"/>
      <c r="Z42" s="164"/>
      <c r="AA42" s="162" t="str">
        <f>IF(Konfiguration_Configuration!$B$29="","",Konfiguration_Configuration!$B$29)</f>
        <v/>
      </c>
      <c r="AB42" s="163"/>
      <c r="AC42" s="164"/>
      <c r="AD42" s="162" t="str">
        <f>IF(Konfiguration_Configuration!$B$30="","",Konfiguration_Configuration!$B$30)</f>
        <v/>
      </c>
      <c r="AE42" s="163"/>
      <c r="AF42" s="164"/>
      <c r="AG42" s="162" t="str">
        <f>IF(Konfiguration_Configuration!$B$31="","",Konfiguration_Configuration!$B$31)</f>
        <v/>
      </c>
      <c r="AH42" s="163"/>
      <c r="AI42" s="164"/>
      <c r="AJ42" s="158" t="str">
        <f>B42</f>
        <v>Name</v>
      </c>
      <c r="AK42" s="159"/>
      <c r="AL42" s="162" t="str">
        <f>IF(Konfiguration_Configuration!$B$32="","",Konfiguration_Configuration!$B$32)</f>
        <v/>
      </c>
      <c r="AM42" s="163"/>
      <c r="AN42" s="164"/>
      <c r="AO42" s="162" t="str">
        <f>IF(Konfiguration_Configuration!$B$33="","",Konfiguration_Configuration!$B$33)</f>
        <v/>
      </c>
      <c r="AP42" s="163"/>
      <c r="AQ42" s="164"/>
      <c r="AR42" s="162" t="str">
        <f>IF(Konfiguration_Configuration!$B$34="","",Konfiguration_Configuration!$B$34)</f>
        <v/>
      </c>
      <c r="AS42" s="163"/>
      <c r="AT42" s="164"/>
      <c r="AU42" s="162" t="str">
        <f>IF(Konfiguration_Configuration!$B$35="","",Konfiguration_Configuration!$B$35)</f>
        <v/>
      </c>
      <c r="AV42" s="163"/>
      <c r="AW42" s="164"/>
      <c r="AX42" s="162" t="str">
        <f>IF(Konfiguration_Configuration!$B$36="","",Konfiguration_Configuration!$B$36)</f>
        <v/>
      </c>
      <c r="AY42" s="163"/>
      <c r="AZ42" s="164"/>
      <c r="BA42" s="158" t="str">
        <f>B42</f>
        <v>Name</v>
      </c>
      <c r="BB42" s="159"/>
      <c r="BC42" s="162" t="str">
        <f>IF(Konfiguration_Configuration!$B$37="","",Konfiguration_Configuration!$B$37)</f>
        <v/>
      </c>
      <c r="BD42" s="163"/>
      <c r="BE42" s="164"/>
      <c r="BF42" s="162" t="str">
        <f>IF(Konfiguration_Configuration!$B$38="","",Konfiguration_Configuration!$B$38)</f>
        <v/>
      </c>
      <c r="BG42" s="163"/>
      <c r="BH42" s="164"/>
      <c r="BI42" s="162" t="str">
        <f>IF(Konfiguration_Configuration!$B$39="","",Konfiguration_Configuration!$B$39)</f>
        <v/>
      </c>
      <c r="BJ42" s="163"/>
      <c r="BK42" s="164"/>
      <c r="BL42" s="162" t="str">
        <f>IF(Konfiguration_Configuration!$B$40="","",Konfiguration_Configuration!$B$40)</f>
        <v/>
      </c>
      <c r="BM42" s="163"/>
      <c r="BN42" s="164"/>
      <c r="BO42" s="162" t="str">
        <f>IF(Konfiguration_Configuration!$B$41="","",Konfiguration_Configuration!$B$41)</f>
        <v/>
      </c>
      <c r="BP42" s="163"/>
      <c r="BQ42" s="164"/>
    </row>
    <row r="43" spans="1:73" ht="25.5" customHeight="1">
      <c r="A43" s="131"/>
      <c r="B43" s="160" t="str">
        <f>Konfiguration_Configuration!E$11</f>
        <v>Klub</v>
      </c>
      <c r="C43" s="161"/>
      <c r="D43" s="179" t="str">
        <f>IF(Konfiguration_Configuration!$E$22="","",Konfiguration_Configuration!$E$22) &amp; IF(Konfiguration_Configuration!$H$22="",""," / " &amp; Konfiguration_Configuration!$H$22)</f>
        <v/>
      </c>
      <c r="E43" s="180"/>
      <c r="F43" s="181"/>
      <c r="G43" s="165" t="str">
        <f>IF(Konfiguration_Configuration!$E$23="","",Konfiguration_Configuration!$E$23) &amp; IF(Konfiguration_Configuration!$H$23="",""," / " &amp; Konfiguration_Configuration!$H$23)</f>
        <v/>
      </c>
      <c r="H43" s="166"/>
      <c r="I43" s="167"/>
      <c r="J43" s="165" t="str">
        <f>IF(Konfiguration_Configuration!$E$24="","",Konfiguration_Configuration!$E$24) &amp; IF(Konfiguration_Configuration!$H$24="",""," / " &amp; Konfiguration_Configuration!$H$24)</f>
        <v/>
      </c>
      <c r="K43" s="166"/>
      <c r="L43" s="167"/>
      <c r="M43" s="165" t="str">
        <f>IF(Konfiguration_Configuration!$E$25="","",Konfiguration_Configuration!$E$25) &amp; IF(Konfiguration_Configuration!$H$25="",""," / " &amp; Konfiguration_Configuration!$H$25)</f>
        <v/>
      </c>
      <c r="N43" s="166"/>
      <c r="O43" s="167"/>
      <c r="P43" s="165" t="str">
        <f>IF(Konfiguration_Configuration!$E$26="","",Konfiguration_Configuration!$E$26) &amp; IF(Konfiguration_Configuration!$H$26="",""," / " &amp; Konfiguration_Configuration!$H$26)</f>
        <v/>
      </c>
      <c r="Q43" s="166"/>
      <c r="R43" s="167"/>
      <c r="S43" s="160" t="str">
        <f>B43</f>
        <v>Klub</v>
      </c>
      <c r="T43" s="161"/>
      <c r="U43" s="165" t="str">
        <f>IF(Konfiguration_Configuration!$E$27="","",Konfiguration_Configuration!$E$27) &amp; IF(Konfiguration_Configuration!$H$27="",""," / " &amp; Konfiguration_Configuration!$H$27)</f>
        <v/>
      </c>
      <c r="V43" s="166"/>
      <c r="W43" s="167"/>
      <c r="X43" s="165" t="str">
        <f>IF(Konfiguration_Configuration!$E$28="","",Konfiguration_Configuration!$E$28) &amp; IF(Konfiguration_Configuration!$H$28="",""," / " &amp; Konfiguration_Configuration!$H$28)</f>
        <v/>
      </c>
      <c r="Y43" s="166"/>
      <c r="Z43" s="167"/>
      <c r="AA43" s="165" t="str">
        <f>IF(Konfiguration_Configuration!$E$29="","",Konfiguration_Configuration!$E$29) &amp; IF(Konfiguration_Configuration!$H$29="",""," / " &amp; Konfiguration_Configuration!$H$29)</f>
        <v/>
      </c>
      <c r="AB43" s="166"/>
      <c r="AC43" s="167"/>
      <c r="AD43" s="165" t="str">
        <f>IF(Konfiguration_Configuration!$E$30="","",Konfiguration_Configuration!$E$30) &amp; IF(Konfiguration_Configuration!$H$30="",""," / " &amp; Konfiguration_Configuration!$H$30)</f>
        <v/>
      </c>
      <c r="AE43" s="166"/>
      <c r="AF43" s="167"/>
      <c r="AG43" s="165" t="str">
        <f>IF(Konfiguration_Configuration!$E$31="","",Konfiguration_Configuration!$E$31) &amp; IF(Konfiguration_Configuration!$H$31="",""," / " &amp; Konfiguration_Configuration!$H$31)</f>
        <v/>
      </c>
      <c r="AH43" s="166"/>
      <c r="AI43" s="167"/>
      <c r="AJ43" s="160" t="str">
        <f>B43</f>
        <v>Klub</v>
      </c>
      <c r="AK43" s="161"/>
      <c r="AL43" s="165" t="str">
        <f>IF(Konfiguration_Configuration!$E$32="","",Konfiguration_Configuration!$E$32) &amp; IF(Konfiguration_Configuration!$H$32="",""," / " &amp; Konfiguration_Configuration!$H$32)</f>
        <v/>
      </c>
      <c r="AM43" s="166"/>
      <c r="AN43" s="167"/>
      <c r="AO43" s="165" t="str">
        <f>IF(Konfiguration_Configuration!$E$33="","",Konfiguration_Configuration!$E$33) &amp; IF(Konfiguration_Configuration!$H$33="",""," / " &amp; Konfiguration_Configuration!$H$33)</f>
        <v/>
      </c>
      <c r="AP43" s="166"/>
      <c r="AQ43" s="167"/>
      <c r="AR43" s="165" t="str">
        <f>IF(Konfiguration_Configuration!$E$34="","",Konfiguration_Configuration!$E$34) &amp; IF(Konfiguration_Configuration!$H$34="",""," / " &amp; Konfiguration_Configuration!$H$34)</f>
        <v/>
      </c>
      <c r="AS43" s="166"/>
      <c r="AT43" s="167"/>
      <c r="AU43" s="165" t="str">
        <f>IF(Konfiguration_Configuration!$E$35="","",Konfiguration_Configuration!$E$35) &amp; IF(Konfiguration_Configuration!$H$35="",""," / " &amp; Konfiguration_Configuration!$H$35)</f>
        <v/>
      </c>
      <c r="AV43" s="166"/>
      <c r="AW43" s="167"/>
      <c r="AX43" s="165" t="str">
        <f>IF(Konfiguration_Configuration!$E$36="","",Konfiguration_Configuration!$E$36) &amp; IF(Konfiguration_Configuration!$H$36="",""," / " &amp; Konfiguration_Configuration!$H$36)</f>
        <v/>
      </c>
      <c r="AY43" s="166"/>
      <c r="AZ43" s="167"/>
      <c r="BA43" s="160" t="str">
        <f>B43</f>
        <v>Klub</v>
      </c>
      <c r="BB43" s="161"/>
      <c r="BC43" s="165" t="str">
        <f>IF(Konfiguration_Configuration!$E$37="","",Konfiguration_Configuration!$E$37) &amp; IF(Konfiguration_Configuration!$H$37="",""," / " &amp; Konfiguration_Configuration!$H$37)</f>
        <v/>
      </c>
      <c r="BD43" s="166"/>
      <c r="BE43" s="167"/>
      <c r="BF43" s="165" t="str">
        <f>IF(Konfiguration_Configuration!$E$38="","",Konfiguration_Configuration!$E$38) &amp; IF(Konfiguration_Configuration!$H$38="",""," / " &amp; Konfiguration_Configuration!$H$38)</f>
        <v/>
      </c>
      <c r="BG43" s="166"/>
      <c r="BH43" s="167"/>
      <c r="BI43" s="165" t="str">
        <f>IF(Konfiguration_Configuration!$E$39="","",Konfiguration_Configuration!$E$39) &amp; IF(Konfiguration_Configuration!$H$39="",""," / " &amp; Konfiguration_Configuration!$H$39)</f>
        <v/>
      </c>
      <c r="BJ43" s="166"/>
      <c r="BK43" s="167"/>
      <c r="BL43" s="165" t="str">
        <f>IF(Konfiguration_Configuration!$E$40="","",Konfiguration_Configuration!$E$40) &amp; IF(Konfiguration_Configuration!$H$40="",""," / " &amp; Konfiguration_Configuration!$H$40)</f>
        <v/>
      </c>
      <c r="BM43" s="166"/>
      <c r="BN43" s="167"/>
      <c r="BO43" s="165" t="str">
        <f>IF(Konfiguration_Configuration!$E$41="","",Konfiguration_Configuration!$E$41) &amp; IF(Konfiguration_Configuration!$H$41="",""," / " &amp; Konfiguration_Configuration!$H$41)</f>
        <v/>
      </c>
      <c r="BP43" s="166"/>
      <c r="BQ43" s="167"/>
    </row>
    <row r="44" spans="1:73" ht="32.1" customHeight="1">
      <c r="A44" s="366" t="str">
        <f>VLOOKUP(CONCATENATE("21",Konfiguration_Configuration!$N$6),Daten!$B$5:$E$99,2,FALSE)</f>
        <v>Vorgeschriebene Schritte (TES)</v>
      </c>
      <c r="B44" s="367"/>
      <c r="C44" s="368"/>
      <c r="D44" s="373"/>
      <c r="E44" s="330"/>
      <c r="F44" s="330"/>
      <c r="G44" s="330"/>
      <c r="H44" s="330"/>
      <c r="I44" s="330"/>
      <c r="J44" s="330"/>
      <c r="K44" s="330"/>
      <c r="L44" s="330"/>
      <c r="M44" s="330"/>
      <c r="N44" s="330"/>
      <c r="O44" s="330"/>
      <c r="P44" s="330"/>
      <c r="Q44" s="330"/>
      <c r="R44" s="331"/>
      <c r="S44" s="169"/>
      <c r="T44" s="137"/>
      <c r="U44" s="135"/>
      <c r="V44" s="186"/>
      <c r="W44" s="212"/>
      <c r="X44" s="135"/>
      <c r="Y44" s="186"/>
      <c r="Z44" s="212"/>
      <c r="AA44" s="135"/>
      <c r="AB44" s="186"/>
      <c r="AC44" s="212"/>
      <c r="AD44" s="135"/>
      <c r="AE44" s="186"/>
      <c r="AF44" s="212"/>
      <c r="AG44" s="135"/>
      <c r="AH44" s="186"/>
      <c r="AI44" s="212"/>
      <c r="AJ44" s="169"/>
      <c r="AK44" s="137"/>
      <c r="AL44" s="135"/>
      <c r="AM44" s="186"/>
      <c r="AN44" s="212"/>
      <c r="AO44" s="135"/>
      <c r="AP44" s="186"/>
      <c r="AQ44" s="212"/>
      <c r="AR44" s="135"/>
      <c r="AS44" s="186"/>
      <c r="AT44" s="212"/>
      <c r="AU44" s="135"/>
      <c r="AV44" s="186"/>
      <c r="AW44" s="212"/>
      <c r="AX44" s="135"/>
      <c r="AY44" s="186"/>
      <c r="AZ44" s="212"/>
      <c r="BA44" s="169"/>
      <c r="BB44" s="137"/>
      <c r="BC44" s="135"/>
      <c r="BD44" s="186"/>
      <c r="BE44" s="212"/>
      <c r="BF44" s="135"/>
      <c r="BG44" s="186"/>
      <c r="BH44" s="212"/>
      <c r="BI44" s="135"/>
      <c r="BJ44" s="186"/>
      <c r="BK44" s="212"/>
      <c r="BL44" s="135"/>
      <c r="BM44" s="186"/>
      <c r="BN44" s="212"/>
      <c r="BO44" s="135"/>
      <c r="BP44" s="186"/>
      <c r="BQ44" s="212"/>
    </row>
    <row r="45" spans="1:73" ht="32.1" customHeight="1">
      <c r="A45" s="136" t="str">
        <f>CONCATENATE(LEFT(A$44,LEN(A$44)-6)," 1:")</f>
        <v>Vorgeschriebene Schritte 1:</v>
      </c>
      <c r="B45" s="168">
        <f>VLOOKUP(CONCATENATE("22",Konfiguration_Configuration!$N$6),Daten!$B$5:$E$99,3,FALSE)</f>
        <v>0.6</v>
      </c>
      <c r="C45" s="362"/>
      <c r="D45" s="358"/>
      <c r="E45" s="360"/>
      <c r="F45" s="190"/>
      <c r="G45" s="358"/>
      <c r="H45" s="360"/>
      <c r="I45" s="190"/>
      <c r="J45" s="358"/>
      <c r="K45" s="360"/>
      <c r="L45" s="190"/>
      <c r="M45" s="358"/>
      <c r="N45" s="360"/>
      <c r="O45" s="190"/>
      <c r="P45" s="358"/>
      <c r="Q45" s="360"/>
      <c r="R45" s="190"/>
      <c r="S45" s="168">
        <f>VLOOKUP(CONCATENATE("22",Konfiguration_Configuration!$N$6),Daten!$B$5:$E$99,3,FALSE)</f>
        <v>0.6</v>
      </c>
      <c r="T45" s="362"/>
      <c r="U45" s="358"/>
      <c r="V45" s="360"/>
      <c r="W45" s="190"/>
      <c r="X45" s="358"/>
      <c r="Y45" s="360"/>
      <c r="Z45" s="190"/>
      <c r="AA45" s="358"/>
      <c r="AB45" s="360"/>
      <c r="AC45" s="190"/>
      <c r="AD45" s="358"/>
      <c r="AE45" s="360"/>
      <c r="AF45" s="190"/>
      <c r="AG45" s="358"/>
      <c r="AH45" s="360"/>
      <c r="AI45" s="190"/>
      <c r="AJ45" s="168">
        <f>VLOOKUP(CONCATENATE("22",Konfiguration_Configuration!$N$6),Daten!$B$5:$E$99,3,FALSE)</f>
        <v>0.6</v>
      </c>
      <c r="AK45" s="362"/>
      <c r="AL45" s="358"/>
      <c r="AM45" s="360"/>
      <c r="AN45" s="190"/>
      <c r="AO45" s="358"/>
      <c r="AP45" s="360"/>
      <c r="AQ45" s="190"/>
      <c r="AR45" s="358"/>
      <c r="AS45" s="360"/>
      <c r="AT45" s="190"/>
      <c r="AU45" s="358"/>
      <c r="AV45" s="360"/>
      <c r="AW45" s="190"/>
      <c r="AX45" s="358"/>
      <c r="AY45" s="360"/>
      <c r="AZ45" s="190"/>
      <c r="BA45" s="168">
        <f>VLOOKUP(CONCATENATE("22",Konfiguration_Configuration!$N$6),Daten!$B$5:$E$99,3,FALSE)</f>
        <v>0.6</v>
      </c>
      <c r="BB45" s="362"/>
      <c r="BC45" s="358"/>
      <c r="BD45" s="360"/>
      <c r="BE45" s="190"/>
      <c r="BF45" s="358"/>
      <c r="BG45" s="360"/>
      <c r="BH45" s="190"/>
      <c r="BI45" s="358"/>
      <c r="BJ45" s="360"/>
      <c r="BK45" s="190"/>
      <c r="BL45" s="358"/>
      <c r="BM45" s="360"/>
      <c r="BN45" s="190"/>
      <c r="BO45" s="358"/>
      <c r="BP45" s="360"/>
      <c r="BQ45" s="190"/>
    </row>
    <row r="46" spans="1:73" ht="32.1" customHeight="1">
      <c r="A46" s="210" t="str">
        <f>VLOOKUP(CONCATENATE("22",Konfiguration_Configuration!$N$6),Daten!$B$5:$E$99,2,FALSE)</f>
        <v>½ ChSqC</v>
      </c>
      <c r="B46" s="169"/>
      <c r="C46" s="363"/>
      <c r="D46" s="359"/>
      <c r="E46" s="361"/>
      <c r="F46" s="187" t="str">
        <f>IF(E45="","",MAX(E45,E46,#REF!)/10*$B$45+$B$45)</f>
        <v/>
      </c>
      <c r="G46" s="359"/>
      <c r="H46" s="361"/>
      <c r="I46" s="187" t="str">
        <f>IF(H45="","",MAX(H45,H46,#REF!)/10*$B$45+$B$45)</f>
        <v/>
      </c>
      <c r="J46" s="359"/>
      <c r="K46" s="361"/>
      <c r="L46" s="187" t="str">
        <f>IF(K45="","",MAX(K45,K46,#REF!)/10*$B$45+$B$45)</f>
        <v/>
      </c>
      <c r="M46" s="359"/>
      <c r="N46" s="361"/>
      <c r="O46" s="187" t="str">
        <f>IF(N45="","",MAX(N45,N46,#REF!)/10*$B$45+$B$45)</f>
        <v/>
      </c>
      <c r="P46" s="359"/>
      <c r="Q46" s="361"/>
      <c r="R46" s="187" t="str">
        <f>IF(Q45="","",MAX(Q45,Q46,#REF!)/10*$B$45+$B$45)</f>
        <v/>
      </c>
      <c r="S46" s="169"/>
      <c r="T46" s="363"/>
      <c r="U46" s="359"/>
      <c r="V46" s="361"/>
      <c r="W46" s="187" t="str">
        <f>IF(V45="","",MAX(V45,V46,#REF!)/10*$B$45+$B$45)</f>
        <v/>
      </c>
      <c r="X46" s="359"/>
      <c r="Y46" s="361"/>
      <c r="Z46" s="187" t="str">
        <f>IF(Y45="","",MAX(Y45,Y46,#REF!)/10*$B$45+$B$45)</f>
        <v/>
      </c>
      <c r="AA46" s="359"/>
      <c r="AB46" s="361"/>
      <c r="AC46" s="187" t="str">
        <f>IF(AB45="","",MAX(AB45,AB46,#REF!)/10*$B$45+$B$45)</f>
        <v/>
      </c>
      <c r="AD46" s="359"/>
      <c r="AE46" s="361"/>
      <c r="AF46" s="187" t="str">
        <f>IF(AE45="","",MAX(AE45,AE46,#REF!)/10*$B$45+$B$45)</f>
        <v/>
      </c>
      <c r="AG46" s="359"/>
      <c r="AH46" s="361"/>
      <c r="AI46" s="187" t="str">
        <f>IF(AH45="","",MAX(AH45,AH46,#REF!)/10*$B$45+$B$45)</f>
        <v/>
      </c>
      <c r="AJ46" s="169"/>
      <c r="AK46" s="363"/>
      <c r="AL46" s="359"/>
      <c r="AM46" s="361"/>
      <c r="AN46" s="187" t="str">
        <f>IF(AM45="","",MAX(AM45,AM46,#REF!)/10*$B$45+$B$45)</f>
        <v/>
      </c>
      <c r="AO46" s="359"/>
      <c r="AP46" s="361"/>
      <c r="AQ46" s="187" t="str">
        <f>IF(AP45="","",MAX(AP45,AP46,#REF!)/10*$B$45+$B$45)</f>
        <v/>
      </c>
      <c r="AR46" s="359"/>
      <c r="AS46" s="361"/>
      <c r="AT46" s="187" t="str">
        <f>IF(AS45="","",MAX(AS45,AS46,#REF!)/10*$B$45+$B$45)</f>
        <v/>
      </c>
      <c r="AU46" s="359"/>
      <c r="AV46" s="361"/>
      <c r="AW46" s="187" t="str">
        <f>IF(AV45="","",MAX(AV45,AV46,#REF!)/10*$B$45+$B$45)</f>
        <v/>
      </c>
      <c r="AX46" s="359"/>
      <c r="AY46" s="361"/>
      <c r="AZ46" s="187" t="str">
        <f>IF(AY45="","",MAX(AY45,AY46,#REF!)/10*$B$45+$B$45)</f>
        <v/>
      </c>
      <c r="BA46" s="169"/>
      <c r="BB46" s="363"/>
      <c r="BC46" s="359"/>
      <c r="BD46" s="361"/>
      <c r="BE46" s="187" t="str">
        <f>IF(BD45="","",MAX(BD45,BD46,#REF!)/10*$B$45+$B$45)</f>
        <v/>
      </c>
      <c r="BF46" s="359"/>
      <c r="BG46" s="361"/>
      <c r="BH46" s="187" t="str">
        <f>IF(BG45="","",MAX(BG45,BG46,#REF!)/10*$B$45+$B$45)</f>
        <v/>
      </c>
      <c r="BI46" s="359"/>
      <c r="BJ46" s="361"/>
      <c r="BK46" s="187" t="str">
        <f>IF(BJ45="","",MAX(BJ45,BJ46,#REF!)/10*$B$45+$B$45)</f>
        <v/>
      </c>
      <c r="BL46" s="359"/>
      <c r="BM46" s="361"/>
      <c r="BN46" s="187" t="str">
        <f>IF(BM45="","",MAX(BM45,BM46,#REF!)/10*$B$45+$B$45)</f>
        <v/>
      </c>
      <c r="BO46" s="359"/>
      <c r="BP46" s="361"/>
      <c r="BQ46" s="187" t="str">
        <f>IF(BP45="","",MAX(BP45,BP46,#REF!)/10*$B$45+$B$45)</f>
        <v/>
      </c>
    </row>
    <row r="47" spans="1:73" ht="32.1" customHeight="1">
      <c r="A47" s="136" t="str">
        <f>CONCATENATE(LEFT(A$44,LEN(A$44)-6)," 2:")</f>
        <v>Vorgeschriebene Schritte 2:</v>
      </c>
      <c r="B47" s="168">
        <f>VLOOKUP(CONCATENATE("23",Konfiguration_Configuration!$N$6),Daten!$B$5:$E$99,3,FALSE)</f>
        <v>0.6</v>
      </c>
      <c r="C47" s="362"/>
      <c r="D47" s="358"/>
      <c r="E47" s="360"/>
      <c r="F47" s="190"/>
      <c r="G47" s="358"/>
      <c r="H47" s="360"/>
      <c r="I47" s="190"/>
      <c r="J47" s="358"/>
      <c r="K47" s="360"/>
      <c r="L47" s="190"/>
      <c r="M47" s="358"/>
      <c r="N47" s="360"/>
      <c r="O47" s="190"/>
      <c r="P47" s="358"/>
      <c r="Q47" s="360"/>
      <c r="R47" s="190"/>
      <c r="S47" s="168">
        <f>VLOOKUP(CONCATENATE("23",Konfiguration_Configuration!$N$6),Daten!$B$5:$E$99,3,FALSE)</f>
        <v>0.6</v>
      </c>
      <c r="T47" s="362"/>
      <c r="U47" s="358"/>
      <c r="V47" s="360"/>
      <c r="W47" s="190"/>
      <c r="X47" s="358"/>
      <c r="Y47" s="360"/>
      <c r="Z47" s="190"/>
      <c r="AA47" s="358"/>
      <c r="AB47" s="360"/>
      <c r="AC47" s="190"/>
      <c r="AD47" s="358"/>
      <c r="AE47" s="360"/>
      <c r="AF47" s="190"/>
      <c r="AG47" s="358"/>
      <c r="AH47" s="360"/>
      <c r="AI47" s="190"/>
      <c r="AJ47" s="168">
        <f>VLOOKUP(CONCATENATE("23",Konfiguration_Configuration!$N$6),Daten!$B$5:$E$99,3,FALSE)</f>
        <v>0.6</v>
      </c>
      <c r="AK47" s="362"/>
      <c r="AL47" s="358"/>
      <c r="AM47" s="360"/>
      <c r="AN47" s="190"/>
      <c r="AO47" s="358"/>
      <c r="AP47" s="360"/>
      <c r="AQ47" s="190"/>
      <c r="AR47" s="358"/>
      <c r="AS47" s="360"/>
      <c r="AT47" s="190"/>
      <c r="AU47" s="358"/>
      <c r="AV47" s="360"/>
      <c r="AW47" s="190"/>
      <c r="AX47" s="358"/>
      <c r="AY47" s="360"/>
      <c r="AZ47" s="190"/>
      <c r="BA47" s="168">
        <f>VLOOKUP(CONCATENATE("23",Konfiguration_Configuration!$N$6),Daten!$B$5:$E$99,3,FALSE)</f>
        <v>0.6</v>
      </c>
      <c r="BB47" s="362"/>
      <c r="BC47" s="358"/>
      <c r="BD47" s="360"/>
      <c r="BE47" s="190"/>
      <c r="BF47" s="358"/>
      <c r="BG47" s="360"/>
      <c r="BH47" s="190"/>
      <c r="BI47" s="358"/>
      <c r="BJ47" s="360"/>
      <c r="BK47" s="190"/>
      <c r="BL47" s="358"/>
      <c r="BM47" s="360"/>
      <c r="BN47" s="190"/>
      <c r="BO47" s="358"/>
      <c r="BP47" s="360"/>
      <c r="BQ47" s="190"/>
    </row>
    <row r="48" spans="1:73" ht="32.1" customHeight="1">
      <c r="A48" s="210" t="str">
        <f>VLOOKUP(CONCATENATE("23",Konfiguration_Configuration!$N$6),Daten!$B$5:$E$99,2,FALSE)</f>
        <v>½ Kreisschritt</v>
      </c>
      <c r="B48" s="169"/>
      <c r="C48" s="363"/>
      <c r="D48" s="359"/>
      <c r="E48" s="361"/>
      <c r="F48" s="187" t="str">
        <f>IF(E47="","",IF(B3=6,MAX(E47,E48,#REF!)/10*$B$49,MAX(E47,E48,#REF!)/10*F$49+F$49))</f>
        <v/>
      </c>
      <c r="G48" s="359"/>
      <c r="H48" s="361"/>
      <c r="I48" s="187" t="str">
        <f>IF(H47="","",IF(B3=6,MAX(H47,H48,#REF!)/10*$B$49,MAX(H47,H48,#REF!)/10*I$49+I$49))</f>
        <v/>
      </c>
      <c r="J48" s="359"/>
      <c r="K48" s="361"/>
      <c r="L48" s="187" t="str">
        <f>IF(K47="","",IF(B3=6,MAX(K47,K48,#REF!)/10*$B$49,MAX(K47,K48,#REF!)/10*L$49+L$49))</f>
        <v/>
      </c>
      <c r="M48" s="359"/>
      <c r="N48" s="361"/>
      <c r="O48" s="187" t="str">
        <f>IF(N47="","",IF(B3=6,MAX(N47,N48,#REF!)/10*$B$49,MAX(N47,N48,#REF!)/10*O$49+O$49))</f>
        <v/>
      </c>
      <c r="P48" s="359"/>
      <c r="Q48" s="361"/>
      <c r="R48" s="187" t="str">
        <f>IF(Q47="","",IF(B3=6,MAX(Q47,Q48,#REF!)/10*$B$49,MAX(Q47,Q48,#REF!)/10*R$49+R$49))</f>
        <v/>
      </c>
      <c r="S48" s="169"/>
      <c r="T48" s="363"/>
      <c r="U48" s="359"/>
      <c r="V48" s="361"/>
      <c r="W48" s="187" t="str">
        <f>IF(V47="","",IF(S3=6,MAX(V47,V48,#REF!)/10*$B$49,MAX(V47,V48,#REF!)/10*W$49+W$49))</f>
        <v/>
      </c>
      <c r="X48" s="359"/>
      <c r="Y48" s="361"/>
      <c r="Z48" s="187" t="str">
        <f>IF(Y47="","",IF(S3=6,MAX(Y47,Y48,#REF!)/10*$B$49,MAX(Y47,Y48,#REF!)/10*Z$49+Z$49))</f>
        <v/>
      </c>
      <c r="AA48" s="359"/>
      <c r="AB48" s="361"/>
      <c r="AC48" s="187" t="str">
        <f>IF(AB47="","",IF(S3=6,MAX(AB47,AB48,#REF!)/10*$B$49,MAX(AB47,AB48,#REF!)/10*AC$49+AC$49))</f>
        <v/>
      </c>
      <c r="AD48" s="359"/>
      <c r="AE48" s="361"/>
      <c r="AF48" s="187" t="str">
        <f>IF(AE47="","",IF(S3=6,MAX(AE47,AE48,#REF!)/10*$B$49,MAX(AE47,AE48,#REF!)/10*AF$49+AF$49))</f>
        <v/>
      </c>
      <c r="AG48" s="359"/>
      <c r="AH48" s="361"/>
      <c r="AI48" s="187" t="str">
        <f>IF(AH47="","",IF(S3=6,MAX(AH47,AH48,#REF!)/10*$B$49,MAX(AH47,AH48,#REF!)/10*AI$49+AI$49))</f>
        <v/>
      </c>
      <c r="AJ48" s="169"/>
      <c r="AK48" s="363"/>
      <c r="AL48" s="359"/>
      <c r="AM48" s="361"/>
      <c r="AN48" s="187" t="str">
        <f>IF(AM47="","",IF(AJ3=6,MAX(AM47,AM48,#REF!)/10*$B$49,MAX(AM47,AM48,#REF!)/10*AN$49+AN$49))</f>
        <v/>
      </c>
      <c r="AO48" s="359"/>
      <c r="AP48" s="361"/>
      <c r="AQ48" s="187" t="str">
        <f>IF(AP47="","",IF(AJ3=6,MAX(AP47,AP48,#REF!)/10*$B$49,MAX(AP47,AP48,#REF!)/10*AQ$49+AQ$49))</f>
        <v/>
      </c>
      <c r="AR48" s="359"/>
      <c r="AS48" s="361"/>
      <c r="AT48" s="187" t="str">
        <f>IF(AS47="","",IF(AJ3=6,MAX(AS47,AS48,#REF!)/10*$B$49,MAX(AS47,AS48,#REF!)/10*AT$49+AT$49))</f>
        <v/>
      </c>
      <c r="AU48" s="359"/>
      <c r="AV48" s="361"/>
      <c r="AW48" s="187" t="str">
        <f>IF(AV47="","",IF(AJ3=6,MAX(AV47,AV48,#REF!)/10*$B$49,MAX(AV47,AV48,#REF!)/10*AW$49+AW$49))</f>
        <v/>
      </c>
      <c r="AX48" s="359"/>
      <c r="AY48" s="361"/>
      <c r="AZ48" s="187" t="str">
        <f>IF(AY47="","",IF(AJ3=6,MAX(AY47,AY48,#REF!)/10*$B$49,MAX(AY47,AY48,#REF!)/10*AZ$49+AZ$49))</f>
        <v/>
      </c>
      <c r="BA48" s="169"/>
      <c r="BB48" s="363"/>
      <c r="BC48" s="359"/>
      <c r="BD48" s="361"/>
      <c r="BE48" s="187" t="str">
        <f>IF(BD47="","",IF(BA3=6,MAX(BD47,BD48,#REF!)/10*$B$49,MAX(BD47,BD48,#REF!)/10*BE$49+BE$49))</f>
        <v/>
      </c>
      <c r="BF48" s="359"/>
      <c r="BG48" s="361"/>
      <c r="BH48" s="187" t="str">
        <f>IF(BG47="","",IF(BA3=6,MAX(BG47,BG48,#REF!)/10*$B$49,MAX(BG47,BG48,#REF!)/10*BH$49+BH$49))</f>
        <v/>
      </c>
      <c r="BI48" s="359"/>
      <c r="BJ48" s="361"/>
      <c r="BK48" s="187" t="str">
        <f>IF(BJ47="","",IF(BA3=6,MAX(BJ47,BJ48,#REF!)/10*$B$49,MAX(BJ47,BJ48,#REF!)/10*BK$49+BK$49))</f>
        <v/>
      </c>
      <c r="BL48" s="359"/>
      <c r="BM48" s="361"/>
      <c r="BN48" s="187" t="str">
        <f>IF(BM47="","",IF(BA3=6,MAX(BM47,BM48,#REF!)/10*$B$49,MAX(BM47,BM48,#REF!)/10*BN$49+BN$49))</f>
        <v/>
      </c>
      <c r="BO48" s="359"/>
      <c r="BP48" s="361"/>
      <c r="BQ48" s="187" t="str">
        <f>IF(BP47="","",IF(BA3=6,MAX(BP47,BP48,#REF!)/10*$B$49,MAX(BP47,BP48,#REF!)/10*BQ$49+BQ$49))</f>
        <v/>
      </c>
    </row>
    <row r="49" spans="1:72" ht="32.1" customHeight="1">
      <c r="A49" s="136" t="str">
        <f>CONCATENATE(LEFT(A$44,LEN(A$44)-6)," 3:")</f>
        <v>Vorgeschriebene Schritte 3:</v>
      </c>
      <c r="B49" s="168">
        <f>VLOOKUP(CONCATENATE("24",Konfiguration_Configuration!$N$6),Daten!$B$5:$E$99,3,FALSE)</f>
        <v>0.6</v>
      </c>
      <c r="C49" s="362"/>
      <c r="D49" s="358"/>
      <c r="E49" s="360"/>
      <c r="F49" s="190"/>
      <c r="G49" s="358"/>
      <c r="H49" s="360"/>
      <c r="I49" s="190"/>
      <c r="J49" s="358"/>
      <c r="K49" s="360"/>
      <c r="L49" s="190"/>
      <c r="M49" s="358"/>
      <c r="N49" s="360"/>
      <c r="O49" s="190"/>
      <c r="P49" s="358"/>
      <c r="Q49" s="360"/>
      <c r="R49" s="190"/>
      <c r="S49" s="168">
        <f>VLOOKUP(CONCATENATE("24",Konfiguration_Configuration!$N$6),Daten!$B$5:$E$99,3,FALSE)</f>
        <v>0.6</v>
      </c>
      <c r="T49" s="362"/>
      <c r="U49" s="358"/>
      <c r="V49" s="360"/>
      <c r="W49" s="190"/>
      <c r="X49" s="358"/>
      <c r="Y49" s="360"/>
      <c r="Z49" s="190"/>
      <c r="AA49" s="358"/>
      <c r="AB49" s="360"/>
      <c r="AC49" s="190"/>
      <c r="AD49" s="358"/>
      <c r="AE49" s="360"/>
      <c r="AF49" s="190"/>
      <c r="AG49" s="358"/>
      <c r="AH49" s="360"/>
      <c r="AI49" s="190"/>
      <c r="AJ49" s="168">
        <f>VLOOKUP(CONCATENATE("24",Konfiguration_Configuration!$N$6),Daten!$B$5:$E$99,3,FALSE)</f>
        <v>0.6</v>
      </c>
      <c r="AK49" s="362"/>
      <c r="AL49" s="358"/>
      <c r="AM49" s="360"/>
      <c r="AN49" s="190"/>
      <c r="AO49" s="358"/>
      <c r="AP49" s="360"/>
      <c r="AQ49" s="190"/>
      <c r="AR49" s="358"/>
      <c r="AS49" s="360"/>
      <c r="AT49" s="190"/>
      <c r="AU49" s="358"/>
      <c r="AV49" s="360"/>
      <c r="AW49" s="190"/>
      <c r="AX49" s="358"/>
      <c r="AY49" s="360"/>
      <c r="AZ49" s="190"/>
      <c r="BA49" s="168">
        <f>VLOOKUP(CONCATENATE("24",Konfiguration_Configuration!$N$6),Daten!$B$5:$E$99,3,FALSE)</f>
        <v>0.6</v>
      </c>
      <c r="BB49" s="362"/>
      <c r="BC49" s="358"/>
      <c r="BD49" s="360"/>
      <c r="BE49" s="190"/>
      <c r="BF49" s="358"/>
      <c r="BG49" s="360"/>
      <c r="BH49" s="190"/>
      <c r="BI49" s="358"/>
      <c r="BJ49" s="360"/>
      <c r="BK49" s="190"/>
      <c r="BL49" s="358"/>
      <c r="BM49" s="360"/>
      <c r="BN49" s="190"/>
      <c r="BO49" s="358"/>
      <c r="BP49" s="360"/>
      <c r="BQ49" s="190"/>
    </row>
    <row r="50" spans="1:72" ht="32.1" customHeight="1">
      <c r="A50" s="210" t="str">
        <f>VLOOKUP(CONCATENATE("24",Konfiguration_Configuration!$N$6),Daten!$B$5:$E$99,2,FALSE)</f>
        <v>½ Längsschritt</v>
      </c>
      <c r="B50" s="169"/>
      <c r="C50" s="363"/>
      <c r="D50" s="359"/>
      <c r="E50" s="361"/>
      <c r="F50" s="187" t="str">
        <f>IF(E49="","",IF(B6=6,MAX(E49,E50,#REF!)/10*$B$49,MAX(E49,E50,#REF!)/10*F$49+F$49))</f>
        <v/>
      </c>
      <c r="G50" s="359"/>
      <c r="H50" s="361"/>
      <c r="I50" s="187" t="str">
        <f>IF(H49="","",IF(B6=6,MAX(H49,H50,#REF!)/10*$B$49,MAX(H49,H50,#REF!)/10*I$49+I$49))</f>
        <v/>
      </c>
      <c r="J50" s="359"/>
      <c r="K50" s="361"/>
      <c r="L50" s="187" t="str">
        <f>IF(K49="","",IF(B6=6,MAX(K49,K50,#REF!)/10*$B$49,MAX(K49,K50,#REF!)/10*L$49+L$49))</f>
        <v/>
      </c>
      <c r="M50" s="359"/>
      <c r="N50" s="361"/>
      <c r="O50" s="187" t="str">
        <f>IF(N49="","",IF(B6=6,MAX(N49,N50,#REF!)/10*$B$49,MAX(N49,N50,#REF!)/10*O$49+O$49))</f>
        <v/>
      </c>
      <c r="P50" s="359"/>
      <c r="Q50" s="361"/>
      <c r="R50" s="187" t="str">
        <f>IF(Q49="","",IF(B6=6,MAX(Q49,Q50,#REF!)/10*$B$49,MAX(Q49,Q50,#REF!)/10*R$49+R$49))</f>
        <v/>
      </c>
      <c r="S50" s="169"/>
      <c r="T50" s="363"/>
      <c r="U50" s="359"/>
      <c r="V50" s="361"/>
      <c r="W50" s="187" t="str">
        <f>IF(V49="","",IF(S6=6,MAX(V49,V50,#REF!)/10*$B$49,MAX(V49,V50,#REF!)/10*W$49+W$49))</f>
        <v/>
      </c>
      <c r="X50" s="359"/>
      <c r="Y50" s="361"/>
      <c r="Z50" s="187" t="str">
        <f>IF(Y49="","",IF(S6=6,MAX(Y49,Y50,#REF!)/10*$B$49,MAX(Y49,Y50,#REF!)/10*Z$49+Z$49))</f>
        <v/>
      </c>
      <c r="AA50" s="359"/>
      <c r="AB50" s="361"/>
      <c r="AC50" s="187" t="str">
        <f>IF(AB49="","",IF(S6=6,MAX(AB49,AB50,#REF!)/10*$B$49,MAX(AB49,AB50,#REF!)/10*AC$49+AC$49))</f>
        <v/>
      </c>
      <c r="AD50" s="359"/>
      <c r="AE50" s="361"/>
      <c r="AF50" s="187" t="str">
        <f>IF(AE49="","",IF(S6=6,MAX(AE49,AE50,#REF!)/10*$B$49,MAX(AE49,AE50,#REF!)/10*AF$49+AF$49))</f>
        <v/>
      </c>
      <c r="AG50" s="359"/>
      <c r="AH50" s="361"/>
      <c r="AI50" s="187" t="str">
        <f>IF(AH49="","",IF(S6=6,MAX(AH49,AH50,#REF!)/10*$B$49,MAX(AH49,AH50,#REF!)/10*AI$49+AI$49))</f>
        <v/>
      </c>
      <c r="AJ50" s="169"/>
      <c r="AK50" s="363"/>
      <c r="AL50" s="359"/>
      <c r="AM50" s="361"/>
      <c r="AN50" s="187" t="str">
        <f>IF(AM49="","",IF(AJ6=6,MAX(AM49,AM50,#REF!)/10*$B$49,MAX(AM49,AM50,#REF!)/10*AN$49+AN$49))</f>
        <v/>
      </c>
      <c r="AO50" s="359"/>
      <c r="AP50" s="361"/>
      <c r="AQ50" s="187" t="str">
        <f>IF(AP49="","",IF(AJ6=6,MAX(AP49,AP50,#REF!)/10*$B$49,MAX(AP49,AP50,#REF!)/10*AQ$49+AQ$49))</f>
        <v/>
      </c>
      <c r="AR50" s="359"/>
      <c r="AS50" s="361"/>
      <c r="AT50" s="187" t="str">
        <f>IF(AS49="","",IF(AJ6=6,MAX(AS49,AS50,#REF!)/10*$B$49,MAX(AS49,AS50,#REF!)/10*AT$49+AT$49))</f>
        <v/>
      </c>
      <c r="AU50" s="359"/>
      <c r="AV50" s="361"/>
      <c r="AW50" s="187" t="str">
        <f>IF(AV49="","",IF(AJ6=6,MAX(AV49,AV50,#REF!)/10*$B$49,MAX(AV49,AV50,#REF!)/10*AW$49+AW$49))</f>
        <v/>
      </c>
      <c r="AX50" s="359"/>
      <c r="AY50" s="361"/>
      <c r="AZ50" s="187" t="str">
        <f>IF(AY49="","",IF(AJ6=6,MAX(AY49,AY50,#REF!)/10*$B$49,MAX(AY49,AY50,#REF!)/10*AZ$49+AZ$49))</f>
        <v/>
      </c>
      <c r="BA50" s="169"/>
      <c r="BB50" s="363"/>
      <c r="BC50" s="359"/>
      <c r="BD50" s="361"/>
      <c r="BE50" s="187" t="str">
        <f>IF(BD49="","",IF(BA6=6,MAX(BD49,BD50,#REF!)/10*$B$49,MAX(BD49,BD50,#REF!)/10*BE$49+BE$49))</f>
        <v/>
      </c>
      <c r="BF50" s="359"/>
      <c r="BG50" s="361"/>
      <c r="BH50" s="187" t="str">
        <f>IF(BG49="","",IF(BA6=6,MAX(BG49,BG50,#REF!)/10*$B$49,MAX(BG49,BG50,#REF!)/10*BH$49+BH$49))</f>
        <v/>
      </c>
      <c r="BI50" s="359"/>
      <c r="BJ50" s="361"/>
      <c r="BK50" s="187" t="str">
        <f>IF(BJ49="","",IF(BA6=6,MAX(BJ49,BJ50,#REF!)/10*$B$49,MAX(BJ49,BJ50,#REF!)/10*BK$49+BK$49))</f>
        <v/>
      </c>
      <c r="BL50" s="359"/>
      <c r="BM50" s="361"/>
      <c r="BN50" s="187" t="str">
        <f>IF(BM49="","",IF(BA6=6,MAX(BM49,BM50,#REF!)/10*$B$49,MAX(BM49,BM50,#REF!)/10*BN$49+BN$49))</f>
        <v/>
      </c>
      <c r="BO50" s="359"/>
      <c r="BP50" s="361"/>
      <c r="BQ50" s="187" t="str">
        <f>IF(BP49="","",IF(BA6=6,MAX(BP49,BP50,#REF!)/10*$B$49,MAX(BP49,BP50,#REF!)/10*BQ$49+BQ$49))</f>
        <v/>
      </c>
    </row>
    <row r="51" spans="1:72" ht="32.1" customHeight="1">
      <c r="A51" s="222" t="str">
        <f>VLOOKUP(CONCATENATE("11",Konfiguration_Configuration!N$6),Daten!B$5:C$99,2,FALSE)</f>
        <v>Total pro Preisrichter</v>
      </c>
      <c r="B51" s="220"/>
      <c r="C51" s="221"/>
      <c r="D51" s="219"/>
      <c r="E51" s="220"/>
      <c r="F51" s="223"/>
      <c r="G51" s="220"/>
      <c r="H51" s="220"/>
      <c r="I51" s="223"/>
      <c r="J51" s="220"/>
      <c r="K51" s="220"/>
      <c r="L51" s="223"/>
      <c r="M51" s="220"/>
      <c r="N51" s="220"/>
      <c r="O51" s="223"/>
      <c r="P51" s="220"/>
      <c r="Q51" s="220"/>
      <c r="R51" s="223"/>
      <c r="S51" s="220"/>
      <c r="T51" s="221"/>
      <c r="U51" s="135"/>
      <c r="V51" s="186"/>
      <c r="W51" s="212"/>
      <c r="X51" s="135"/>
      <c r="Y51" s="186"/>
      <c r="Z51" s="212"/>
      <c r="AA51" s="135"/>
      <c r="AB51" s="186"/>
      <c r="AC51" s="212"/>
      <c r="AD51" s="135"/>
      <c r="AE51" s="186"/>
      <c r="AF51" s="212"/>
      <c r="AG51" s="135"/>
      <c r="AH51" s="186"/>
      <c r="AI51" s="212"/>
      <c r="AJ51" s="220"/>
      <c r="AK51" s="221"/>
      <c r="AL51" s="135"/>
      <c r="AM51" s="186"/>
      <c r="AN51" s="212"/>
      <c r="AO51" s="135"/>
      <c r="AP51" s="186"/>
      <c r="AQ51" s="212"/>
      <c r="AR51" s="135"/>
      <c r="AS51" s="186"/>
      <c r="AT51" s="212"/>
      <c r="AU51" s="135"/>
      <c r="AV51" s="186"/>
      <c r="AW51" s="212"/>
      <c r="AX51" s="135"/>
      <c r="AY51" s="186"/>
      <c r="AZ51" s="212"/>
      <c r="BA51" s="220"/>
      <c r="BB51" s="221"/>
      <c r="BC51" s="135"/>
      <c r="BD51" s="186"/>
      <c r="BE51" s="212"/>
      <c r="BF51" s="135"/>
      <c r="BG51" s="186"/>
      <c r="BH51" s="212"/>
      <c r="BI51" s="135"/>
      <c r="BJ51" s="186"/>
      <c r="BK51" s="212"/>
      <c r="BL51" s="135"/>
      <c r="BM51" s="186"/>
      <c r="BN51" s="212"/>
      <c r="BO51" s="135"/>
      <c r="BP51" s="186"/>
      <c r="BQ51" s="212"/>
    </row>
    <row r="52" spans="1:72" ht="32.1" hidden="1" customHeight="1">
      <c r="A52" s="140"/>
      <c r="B52" s="141"/>
      <c r="C52" s="142"/>
      <c r="D52" s="192" t="s">
        <v>246</v>
      </c>
      <c r="E52" s="143"/>
      <c r="F52" s="187"/>
      <c r="G52" s="192" t="s">
        <v>246</v>
      </c>
      <c r="H52" s="143"/>
      <c r="I52" s="187"/>
      <c r="J52" s="192" t="s">
        <v>246</v>
      </c>
      <c r="K52" s="143"/>
      <c r="L52" s="187"/>
      <c r="M52" s="192" t="s">
        <v>246</v>
      </c>
      <c r="N52" s="143"/>
      <c r="O52" s="187"/>
      <c r="P52" s="192" t="s">
        <v>246</v>
      </c>
      <c r="Q52" s="143"/>
      <c r="R52" s="187"/>
      <c r="S52" s="141"/>
      <c r="T52" s="142"/>
      <c r="U52" s="192" t="s">
        <v>246</v>
      </c>
      <c r="V52" s="143"/>
      <c r="W52" s="187"/>
      <c r="X52" s="192" t="s">
        <v>246</v>
      </c>
      <c r="Y52" s="143"/>
      <c r="Z52" s="187"/>
      <c r="AA52" s="192" t="s">
        <v>246</v>
      </c>
      <c r="AB52" s="143"/>
      <c r="AC52" s="187"/>
      <c r="AD52" s="192" t="s">
        <v>246</v>
      </c>
      <c r="AE52" s="143"/>
      <c r="AF52" s="187"/>
      <c r="AG52" s="192" t="s">
        <v>246</v>
      </c>
      <c r="AH52" s="143"/>
      <c r="AI52" s="187"/>
      <c r="AJ52" s="141"/>
      <c r="AK52" s="142"/>
      <c r="AL52" s="192" t="s">
        <v>246</v>
      </c>
      <c r="AM52" s="143"/>
      <c r="AN52" s="187"/>
      <c r="AO52" s="192" t="s">
        <v>246</v>
      </c>
      <c r="AP52" s="143"/>
      <c r="AQ52" s="187"/>
      <c r="AR52" s="192" t="s">
        <v>246</v>
      </c>
      <c r="AS52" s="143"/>
      <c r="AT52" s="187"/>
      <c r="AU52" s="192" t="s">
        <v>246</v>
      </c>
      <c r="AV52" s="143"/>
      <c r="AW52" s="187"/>
      <c r="AX52" s="192" t="s">
        <v>246</v>
      </c>
      <c r="AY52" s="143"/>
      <c r="AZ52" s="187"/>
      <c r="BA52" s="141"/>
      <c r="BB52" s="142"/>
      <c r="BC52" s="192" t="s">
        <v>246</v>
      </c>
      <c r="BD52" s="143"/>
      <c r="BE52" s="187"/>
      <c r="BF52" s="192" t="s">
        <v>246</v>
      </c>
      <c r="BG52" s="143"/>
      <c r="BH52" s="187"/>
      <c r="BI52" s="192" t="s">
        <v>246</v>
      </c>
      <c r="BJ52" s="143"/>
      <c r="BK52" s="187"/>
      <c r="BL52" s="192" t="s">
        <v>246</v>
      </c>
      <c r="BM52" s="143"/>
      <c r="BN52" s="187"/>
      <c r="BO52" s="192" t="s">
        <v>246</v>
      </c>
      <c r="BP52" s="143"/>
      <c r="BQ52" s="187"/>
      <c r="BR52" s="144"/>
      <c r="BT52" s="58"/>
    </row>
    <row r="53" spans="1:72" ht="32.1" hidden="1" customHeight="1">
      <c r="A53" s="140"/>
      <c r="B53" s="141"/>
      <c r="C53" s="142"/>
      <c r="D53" s="192" t="s">
        <v>247</v>
      </c>
      <c r="E53" s="143"/>
      <c r="F53" s="187"/>
      <c r="G53" s="192" t="s">
        <v>247</v>
      </c>
      <c r="H53" s="143"/>
      <c r="I53" s="187"/>
      <c r="J53" s="192" t="s">
        <v>247</v>
      </c>
      <c r="K53" s="143"/>
      <c r="L53" s="187"/>
      <c r="M53" s="192" t="s">
        <v>247</v>
      </c>
      <c r="N53" s="143"/>
      <c r="O53" s="187"/>
      <c r="P53" s="192" t="s">
        <v>247</v>
      </c>
      <c r="Q53" s="143"/>
      <c r="R53" s="187"/>
      <c r="S53" s="141"/>
      <c r="T53" s="142"/>
      <c r="U53" s="192" t="s">
        <v>247</v>
      </c>
      <c r="V53" s="143"/>
      <c r="W53" s="187"/>
      <c r="X53" s="192" t="s">
        <v>247</v>
      </c>
      <c r="Y53" s="143"/>
      <c r="Z53" s="187"/>
      <c r="AA53" s="192" t="s">
        <v>247</v>
      </c>
      <c r="AB53" s="143"/>
      <c r="AC53" s="187"/>
      <c r="AD53" s="192" t="s">
        <v>247</v>
      </c>
      <c r="AE53" s="143"/>
      <c r="AF53" s="187"/>
      <c r="AG53" s="192" t="s">
        <v>247</v>
      </c>
      <c r="AH53" s="143"/>
      <c r="AI53" s="187"/>
      <c r="AJ53" s="141"/>
      <c r="AK53" s="142"/>
      <c r="AL53" s="192" t="s">
        <v>247</v>
      </c>
      <c r="AM53" s="143"/>
      <c r="AN53" s="187"/>
      <c r="AO53" s="192" t="s">
        <v>247</v>
      </c>
      <c r="AP53" s="143"/>
      <c r="AQ53" s="187"/>
      <c r="AR53" s="192" t="s">
        <v>247</v>
      </c>
      <c r="AS53" s="143"/>
      <c r="AT53" s="187"/>
      <c r="AU53" s="192" t="s">
        <v>247</v>
      </c>
      <c r="AV53" s="143"/>
      <c r="AW53" s="187"/>
      <c r="AX53" s="192" t="s">
        <v>247</v>
      </c>
      <c r="AY53" s="143"/>
      <c r="AZ53" s="187"/>
      <c r="BA53" s="141"/>
      <c r="BB53" s="142"/>
      <c r="BC53" s="192" t="s">
        <v>247</v>
      </c>
      <c r="BD53" s="143"/>
      <c r="BE53" s="187"/>
      <c r="BF53" s="192" t="s">
        <v>247</v>
      </c>
      <c r="BG53" s="143"/>
      <c r="BH53" s="187"/>
      <c r="BI53" s="192" t="s">
        <v>247</v>
      </c>
      <c r="BJ53" s="143"/>
      <c r="BK53" s="187"/>
      <c r="BL53" s="192" t="s">
        <v>247</v>
      </c>
      <c r="BM53" s="143"/>
      <c r="BN53" s="187"/>
      <c r="BO53" s="192" t="s">
        <v>247</v>
      </c>
      <c r="BP53" s="143"/>
      <c r="BQ53" s="187"/>
      <c r="BR53" s="144"/>
      <c r="BT53" s="58"/>
    </row>
    <row r="54" spans="1:72" ht="32.1" customHeight="1">
      <c r="A54" s="366" t="str">
        <f>VLOOKUP(CONCATENATE("31",Konfiguration_Configuration!N$6),Daten!B$5:C$99,2,FALSE)</f>
        <v>Program Components (PCS)</v>
      </c>
      <c r="B54" s="367"/>
      <c r="C54" s="368"/>
      <c r="D54" s="226"/>
      <c r="E54" s="175"/>
      <c r="F54" s="145"/>
      <c r="G54" s="226"/>
      <c r="H54" s="175"/>
      <c r="I54" s="145"/>
      <c r="J54" s="226"/>
      <c r="K54" s="175"/>
      <c r="L54" s="145"/>
      <c r="M54" s="226"/>
      <c r="N54" s="175"/>
      <c r="O54" s="145"/>
      <c r="P54" s="226"/>
      <c r="Q54" s="175"/>
      <c r="R54" s="245"/>
      <c r="S54" s="246"/>
      <c r="T54" s="247"/>
      <c r="U54" s="226"/>
      <c r="V54" s="175"/>
      <c r="W54" s="145"/>
      <c r="X54" s="226"/>
      <c r="Y54" s="175"/>
      <c r="Z54" s="145"/>
      <c r="AA54" s="226"/>
      <c r="AB54" s="175"/>
      <c r="AC54" s="145"/>
      <c r="AD54" s="226"/>
      <c r="AE54" s="175"/>
      <c r="AF54" s="145"/>
      <c r="AG54" s="226"/>
      <c r="AH54" s="175"/>
      <c r="AI54" s="145"/>
      <c r="AJ54" s="246"/>
      <c r="AK54" s="247"/>
      <c r="AL54" s="242" t="str">
        <f>IF(Konfiguration_Configuration!$B$2=Konfiguration_Configuration!$L$1,'Notizenblatt_Feuille de juge'!AL52,'Notizenblatt_Feuille de juge'!AL53)</f>
        <v xml:space="preserve">mind 
1 Sprung  
1 Schritt  </v>
      </c>
      <c r="AM54" s="175"/>
      <c r="AN54" s="145"/>
      <c r="AO54" s="242" t="str">
        <f>IF(Konfiguration_Configuration!$B$2=Konfiguration_Configuration!$L$1,'Notizenblatt_Feuille de juge'!AO52,'Notizenblatt_Feuille de juge'!AO53)</f>
        <v xml:space="preserve">mind 
1 Sprung  
1 Schritt  </v>
      </c>
      <c r="AP54" s="175"/>
      <c r="AQ54" s="145"/>
      <c r="AR54" s="242" t="str">
        <f>IF(Konfiguration_Configuration!$B$2=Konfiguration_Configuration!$L$1,'Notizenblatt_Feuille de juge'!AR52,'Notizenblatt_Feuille de juge'!AR53)</f>
        <v xml:space="preserve">mind 
1 Sprung  
1 Schritt  </v>
      </c>
      <c r="AS54" s="175"/>
      <c r="AT54" s="145"/>
      <c r="AU54" s="242" t="str">
        <f>IF(Konfiguration_Configuration!$B$2=Konfiguration_Configuration!$L$1,'Notizenblatt_Feuille de juge'!AU52,'Notizenblatt_Feuille de juge'!AU53)</f>
        <v xml:space="preserve">mind 
1 Sprung  
1 Schritt  </v>
      </c>
      <c r="AV54" s="175"/>
      <c r="AW54" s="145"/>
      <c r="AX54" s="242" t="str">
        <f>IF(Konfiguration_Configuration!$B$2=Konfiguration_Configuration!$L$1,'Notizenblatt_Feuille de juge'!AX52,'Notizenblatt_Feuille de juge'!AX53)</f>
        <v xml:space="preserve">mind 
1 Sprung  
1 Schritt  </v>
      </c>
      <c r="AY54" s="175"/>
      <c r="AZ54" s="145"/>
      <c r="BA54" s="246"/>
      <c r="BB54" s="247"/>
      <c r="BC54" s="242" t="str">
        <f>IF(Konfiguration_Configuration!$B$2=Konfiguration_Configuration!$L$1,'Notizenblatt_Feuille de juge'!BC52,'Notizenblatt_Feuille de juge'!BC53)</f>
        <v xml:space="preserve">mind 
1 Sprung  
1 Schritt  </v>
      </c>
      <c r="BD54" s="175"/>
      <c r="BE54" s="145"/>
      <c r="BF54" s="242" t="str">
        <f>IF(Konfiguration_Configuration!$B$2=Konfiguration_Configuration!$L$1,'Notizenblatt_Feuille de juge'!BF52,'Notizenblatt_Feuille de juge'!BF53)</f>
        <v xml:space="preserve">mind 
1 Sprung  
1 Schritt  </v>
      </c>
      <c r="BG54" s="175"/>
      <c r="BH54" s="145"/>
      <c r="BI54" s="242" t="str">
        <f>IF(Konfiguration_Configuration!$B$2=Konfiguration_Configuration!$L$1,'Notizenblatt_Feuille de juge'!BI52,'Notizenblatt_Feuille de juge'!BI53)</f>
        <v xml:space="preserve">mind 
1 Sprung  
1 Schritt  </v>
      </c>
      <c r="BJ54" s="175"/>
      <c r="BK54" s="145"/>
      <c r="BL54" s="242" t="str">
        <f>IF(Konfiguration_Configuration!$B$2=Konfiguration_Configuration!$L$1,'Notizenblatt_Feuille de juge'!BL52,'Notizenblatt_Feuille de juge'!BL53)</f>
        <v xml:space="preserve">mind 
1 Sprung  
1 Schritt  </v>
      </c>
      <c r="BM54" s="175"/>
      <c r="BN54" s="145"/>
      <c r="BO54" s="242" t="str">
        <f>IF(Konfiguration_Configuration!$B$2=Konfiguration_Configuration!$L$1,'Notizenblatt_Feuille de juge'!BO52,'Notizenblatt_Feuille de juge'!BO53)</f>
        <v xml:space="preserve">mind 
1 Sprung  
1 Schritt  </v>
      </c>
      <c r="BP54" s="175"/>
      <c r="BQ54" s="145"/>
      <c r="BT54" s="58"/>
    </row>
    <row r="55" spans="1:72" ht="32.1" customHeight="1">
      <c r="A55" s="227" t="str">
        <f>VLOOKUP(CONCATENATE("32",Konfiguration_Configuration!N$6),Daten!B$5:C$99,2,FALSE)</f>
        <v>Presentation</v>
      </c>
      <c r="B55" s="176"/>
      <c r="C55" s="176"/>
      <c r="D55" s="225"/>
      <c r="E55" s="175"/>
      <c r="F55" s="145"/>
      <c r="G55" s="225"/>
      <c r="H55" s="175"/>
      <c r="I55" s="145"/>
      <c r="J55" s="225"/>
      <c r="K55" s="175"/>
      <c r="L55" s="145"/>
      <c r="M55" s="225"/>
      <c r="N55" s="175"/>
      <c r="O55" s="145"/>
      <c r="P55" s="225"/>
      <c r="Q55" s="175"/>
      <c r="R55" s="145"/>
      <c r="S55" s="176"/>
      <c r="T55" s="176"/>
      <c r="U55" s="225"/>
      <c r="V55" s="175"/>
      <c r="W55" s="145"/>
      <c r="X55" s="225"/>
      <c r="Y55" s="175"/>
      <c r="Z55" s="145"/>
      <c r="AA55" s="225"/>
      <c r="AB55" s="175"/>
      <c r="AC55" s="145"/>
      <c r="AD55" s="225"/>
      <c r="AE55" s="175"/>
      <c r="AF55" s="145"/>
      <c r="AG55" s="225"/>
      <c r="AH55" s="175"/>
      <c r="AI55" s="145"/>
      <c r="AJ55" s="176"/>
      <c r="AK55" s="176"/>
      <c r="AL55" s="243"/>
      <c r="AM55" s="175"/>
      <c r="AN55" s="145"/>
      <c r="AO55" s="243"/>
      <c r="AP55" s="175"/>
      <c r="AQ55" s="145"/>
      <c r="AR55" s="243"/>
      <c r="AS55" s="175"/>
      <c r="AT55" s="145"/>
      <c r="AU55" s="243"/>
      <c r="AV55" s="175"/>
      <c r="AW55" s="145"/>
      <c r="AX55" s="243"/>
      <c r="AY55" s="175"/>
      <c r="AZ55" s="145"/>
      <c r="BA55" s="176"/>
      <c r="BB55" s="176"/>
      <c r="BC55" s="243"/>
      <c r="BD55" s="175"/>
      <c r="BE55" s="145"/>
      <c r="BF55" s="243"/>
      <c r="BG55" s="175"/>
      <c r="BH55" s="145"/>
      <c r="BI55" s="243"/>
      <c r="BJ55" s="175"/>
      <c r="BK55" s="145"/>
      <c r="BL55" s="243"/>
      <c r="BM55" s="175"/>
      <c r="BN55" s="145"/>
      <c r="BO55" s="243"/>
      <c r="BP55" s="175"/>
      <c r="BQ55" s="145"/>
      <c r="BT55" s="58"/>
    </row>
    <row r="56" spans="1:72" ht="32.1" customHeight="1">
      <c r="A56" s="227" t="str">
        <f>VLOOKUP(CONCATENATE("33",Konfiguration_Configuration!N$6),Daten!B$5:C$99,2,FALSE)</f>
        <v>Skating Skills</v>
      </c>
      <c r="B56" s="176"/>
      <c r="C56" s="176"/>
      <c r="D56" s="225"/>
      <c r="E56" s="175"/>
      <c r="F56" s="145"/>
      <c r="G56" s="225"/>
      <c r="H56" s="175"/>
      <c r="I56" s="145"/>
      <c r="J56" s="225"/>
      <c r="K56" s="175"/>
      <c r="L56" s="145"/>
      <c r="M56" s="225"/>
      <c r="N56" s="175"/>
      <c r="O56" s="145"/>
      <c r="P56" s="225"/>
      <c r="Q56" s="175"/>
      <c r="R56" s="145"/>
      <c r="S56" s="176"/>
      <c r="T56" s="176"/>
      <c r="U56" s="225"/>
      <c r="V56" s="175"/>
      <c r="W56" s="145"/>
      <c r="X56" s="225"/>
      <c r="Y56" s="175"/>
      <c r="Z56" s="145"/>
      <c r="AA56" s="225"/>
      <c r="AB56" s="175"/>
      <c r="AC56" s="145"/>
      <c r="AD56" s="225"/>
      <c r="AE56" s="175"/>
      <c r="AF56" s="145"/>
      <c r="AG56" s="225"/>
      <c r="AH56" s="175"/>
      <c r="AI56" s="145"/>
      <c r="AJ56" s="176"/>
      <c r="AK56" s="176"/>
      <c r="AL56" s="243"/>
      <c r="AM56" s="175"/>
      <c r="AN56" s="145"/>
      <c r="AO56" s="243"/>
      <c r="AP56" s="175"/>
      <c r="AQ56" s="145"/>
      <c r="AR56" s="243"/>
      <c r="AS56" s="175"/>
      <c r="AT56" s="145"/>
      <c r="AU56" s="243"/>
      <c r="AV56" s="175"/>
      <c r="AW56" s="145"/>
      <c r="AX56" s="243"/>
      <c r="AY56" s="175"/>
      <c r="AZ56" s="145"/>
      <c r="BA56" s="176"/>
      <c r="BB56" s="176"/>
      <c r="BC56" s="243"/>
      <c r="BD56" s="175"/>
      <c r="BE56" s="145"/>
      <c r="BF56" s="243"/>
      <c r="BG56" s="175"/>
      <c r="BH56" s="145"/>
      <c r="BI56" s="243"/>
      <c r="BJ56" s="175"/>
      <c r="BK56" s="145"/>
      <c r="BL56" s="243"/>
      <c r="BM56" s="175"/>
      <c r="BN56" s="145"/>
      <c r="BO56" s="243"/>
      <c r="BP56" s="175"/>
      <c r="BQ56" s="145"/>
      <c r="BT56" s="58"/>
    </row>
    <row r="57" spans="1:72" ht="31.5" customHeight="1">
      <c r="A57" s="227">
        <f>VLOOKUP(CONCATENATE("34",Konfiguration_Configuration!N$6),Daten!B$5:C$99,2,FALSE)</f>
        <v>0</v>
      </c>
      <c r="B57" s="176"/>
      <c r="C57" s="176"/>
      <c r="D57" s="225"/>
      <c r="E57" s="175"/>
      <c r="F57" s="146"/>
      <c r="G57" s="225"/>
      <c r="H57" s="175"/>
      <c r="I57" s="146"/>
      <c r="J57" s="225"/>
      <c r="K57" s="175"/>
      <c r="L57" s="146"/>
      <c r="M57" s="225"/>
      <c r="N57" s="175"/>
      <c r="O57" s="146"/>
      <c r="P57" s="225"/>
      <c r="Q57" s="175"/>
      <c r="R57" s="146"/>
      <c r="S57" s="176"/>
      <c r="T57" s="176"/>
      <c r="U57" s="225"/>
      <c r="V57" s="175"/>
      <c r="W57" s="146"/>
      <c r="X57" s="225"/>
      <c r="Y57" s="175"/>
      <c r="Z57" s="146"/>
      <c r="AA57" s="225"/>
      <c r="AB57" s="175"/>
      <c r="AC57" s="146"/>
      <c r="AD57" s="225"/>
      <c r="AE57" s="175"/>
      <c r="AF57" s="146"/>
      <c r="AG57" s="225"/>
      <c r="AH57" s="175"/>
      <c r="AI57" s="146"/>
      <c r="AJ57" s="176"/>
      <c r="AK57" s="176"/>
      <c r="AL57" s="244"/>
      <c r="AM57" s="175"/>
      <c r="AN57" s="146"/>
      <c r="AO57" s="244"/>
      <c r="AP57" s="175"/>
      <c r="AQ57" s="146"/>
      <c r="AR57" s="244"/>
      <c r="AS57" s="175"/>
      <c r="AT57" s="146"/>
      <c r="AU57" s="244"/>
      <c r="AV57" s="175"/>
      <c r="AW57" s="146"/>
      <c r="AX57" s="244"/>
      <c r="AY57" s="175"/>
      <c r="AZ57" s="146"/>
      <c r="BA57" s="176"/>
      <c r="BB57" s="176"/>
      <c r="BC57" s="244"/>
      <c r="BD57" s="175"/>
      <c r="BE57" s="146"/>
      <c r="BF57" s="244"/>
      <c r="BG57" s="175"/>
      <c r="BH57" s="146"/>
      <c r="BI57" s="244"/>
      <c r="BJ57" s="175"/>
      <c r="BK57" s="146"/>
      <c r="BL57" s="244"/>
      <c r="BM57" s="175"/>
      <c r="BN57" s="146"/>
      <c r="BO57" s="244"/>
      <c r="BP57" s="175"/>
      <c r="BQ57" s="146"/>
      <c r="BT57" s="58"/>
    </row>
    <row r="58" spans="1:72" ht="31.5" customHeight="1">
      <c r="A58" s="222" t="str">
        <f>VLOOKUP(CONCATENATE("11",Konfiguration_Configuration!N$6),Daten!B$5:C$99,2,FALSE)</f>
        <v>Total pro Preisrichter</v>
      </c>
      <c r="B58" s="176"/>
      <c r="C58" s="176"/>
      <c r="D58" s="254"/>
      <c r="E58" s="177"/>
      <c r="F58" s="146"/>
      <c r="G58" s="254"/>
      <c r="H58" s="177"/>
      <c r="I58" s="146"/>
      <c r="J58" s="254"/>
      <c r="K58" s="177"/>
      <c r="L58" s="146"/>
      <c r="M58" s="254"/>
      <c r="N58" s="177"/>
      <c r="O58" s="146"/>
      <c r="P58" s="254"/>
      <c r="Q58" s="177"/>
      <c r="R58" s="146"/>
      <c r="S58" s="176"/>
      <c r="T58" s="176"/>
      <c r="U58" s="254"/>
      <c r="V58" s="177"/>
      <c r="W58" s="146"/>
      <c r="X58" s="254"/>
      <c r="Y58" s="177"/>
      <c r="Z58" s="146"/>
      <c r="AA58" s="254"/>
      <c r="AB58" s="177"/>
      <c r="AC58" s="146"/>
      <c r="AD58" s="254"/>
      <c r="AE58" s="177"/>
      <c r="AF58" s="146"/>
      <c r="AG58" s="254"/>
      <c r="AH58" s="177"/>
      <c r="AI58" s="146"/>
      <c r="AJ58" s="176"/>
      <c r="AK58" s="176"/>
      <c r="AL58" s="254"/>
      <c r="AM58" s="177"/>
      <c r="AN58" s="146"/>
      <c r="AO58" s="254"/>
      <c r="AP58" s="177"/>
      <c r="AQ58" s="146"/>
      <c r="AR58" s="254"/>
      <c r="AS58" s="177"/>
      <c r="AT58" s="146"/>
      <c r="AU58" s="254"/>
      <c r="AV58" s="177"/>
      <c r="AW58" s="146"/>
      <c r="AX58" s="254"/>
      <c r="AY58" s="177"/>
      <c r="AZ58" s="146"/>
      <c r="BA58" s="176"/>
      <c r="BB58" s="176"/>
      <c r="BC58" s="254"/>
      <c r="BD58" s="177"/>
      <c r="BE58" s="146"/>
      <c r="BF58" s="254"/>
      <c r="BG58" s="177"/>
      <c r="BH58" s="146"/>
      <c r="BI58" s="254"/>
      <c r="BJ58" s="177"/>
      <c r="BK58" s="146"/>
      <c r="BL58" s="254"/>
      <c r="BM58" s="177"/>
      <c r="BN58" s="146"/>
      <c r="BO58" s="254"/>
      <c r="BP58" s="177"/>
      <c r="BQ58" s="146"/>
      <c r="BT58" s="58"/>
    </row>
    <row r="59" spans="1:72" ht="32.1" customHeight="1">
      <c r="A59" s="227" t="str">
        <f>VLOOKUP(CONCATENATE("41",Konfiguration_Configuration!N$6),Daten!B$5:C$99,2,FALSE)</f>
        <v>Sturz</v>
      </c>
      <c r="B59" s="229">
        <f>VLOOKUP(CONCATENATE("41",Konfiguration_Configuration!$N$6),Daten!$B$5:$D$99,3,FALSE)</f>
        <v>-0.25</v>
      </c>
      <c r="C59" s="176"/>
      <c r="D59" s="225"/>
      <c r="E59" s="175"/>
      <c r="F59" s="146"/>
      <c r="G59" s="225"/>
      <c r="H59" s="175"/>
      <c r="I59" s="146"/>
      <c r="J59" s="225"/>
      <c r="K59" s="175"/>
      <c r="L59" s="146"/>
      <c r="M59" s="225"/>
      <c r="N59" s="175"/>
      <c r="O59" s="146"/>
      <c r="P59" s="225"/>
      <c r="Q59" s="175"/>
      <c r="R59" s="146"/>
      <c r="S59" s="229">
        <f>VLOOKUP(CONCATENATE("41",Konfiguration_Configuration!$N$6),Daten!$B$5:$D$99,3,FALSE)</f>
        <v>-0.25</v>
      </c>
      <c r="T59" s="176"/>
      <c r="U59" s="225"/>
      <c r="V59" s="175"/>
      <c r="W59" s="146"/>
      <c r="X59" s="225"/>
      <c r="Y59" s="175"/>
      <c r="Z59" s="146"/>
      <c r="AA59" s="225"/>
      <c r="AB59" s="175"/>
      <c r="AC59" s="146"/>
      <c r="AD59" s="225"/>
      <c r="AE59" s="175"/>
      <c r="AF59" s="146"/>
      <c r="AG59" s="225"/>
      <c r="AH59" s="175"/>
      <c r="AI59" s="146"/>
      <c r="AJ59" s="176"/>
      <c r="AK59" s="176"/>
      <c r="AL59" s="255"/>
      <c r="AM59" s="175"/>
      <c r="AN59" s="146"/>
      <c r="AO59" s="255"/>
      <c r="AP59" s="175"/>
      <c r="AQ59" s="146"/>
      <c r="AR59" s="255"/>
      <c r="AS59" s="175"/>
      <c r="AT59" s="146"/>
      <c r="AU59" s="255"/>
      <c r="AV59" s="175"/>
      <c r="AW59" s="146"/>
      <c r="AX59" s="255"/>
      <c r="AY59" s="175"/>
      <c r="AZ59" s="146"/>
      <c r="BA59" s="176"/>
      <c r="BB59" s="176"/>
      <c r="BC59" s="255"/>
      <c r="BD59" s="175"/>
      <c r="BE59" s="146"/>
      <c r="BF59" s="255"/>
      <c r="BG59" s="175"/>
      <c r="BH59" s="146"/>
      <c r="BI59" s="255"/>
      <c r="BJ59" s="175"/>
      <c r="BK59" s="146"/>
      <c r="BL59" s="255"/>
      <c r="BM59" s="175"/>
      <c r="BN59" s="146"/>
      <c r="BO59" s="255"/>
      <c r="BP59" s="175"/>
      <c r="BQ59" s="146"/>
      <c r="BT59" s="58"/>
    </row>
    <row r="60" spans="1:72" ht="32.1" customHeight="1">
      <c r="A60" s="222" t="str">
        <f>VLOOKUP(CONCATENATE("11",Konfiguration_Configuration!N$6),Daten!B$5:C$99,2,FALSE)</f>
        <v>Total pro Preisrichter</v>
      </c>
      <c r="B60" s="241">
        <f>VLOOKUP(CONCATENATE("55",Konfiguration_Configuration!$N$6),Daten!$B$5:$E$99,3,FALSE)</f>
        <v>4.8</v>
      </c>
      <c r="C60" s="176"/>
      <c r="D60" s="254" t="str">
        <f>VLOOKUP(CONCATENATE("13",Konfiguration_Configuration!$N$6),Daten!$B$5:$E$99,2,FALSE)</f>
        <v>1. Teil bestanden:  ja  nein</v>
      </c>
      <c r="E60" s="177"/>
      <c r="F60" s="146"/>
      <c r="G60" s="254" t="str">
        <f>VLOOKUP(CONCATENATE("13",Konfiguration_Configuration!$N$6),Daten!$B$5:$E$99,2,FALSE)</f>
        <v>1. Teil bestanden:  ja  nein</v>
      </c>
      <c r="H60" s="177"/>
      <c r="I60" s="146"/>
      <c r="J60" s="254" t="str">
        <f>VLOOKUP(CONCATENATE("13",Konfiguration_Configuration!$N$6),Daten!$B$5:$E$99,2,FALSE)</f>
        <v>1. Teil bestanden:  ja  nein</v>
      </c>
      <c r="K60" s="177"/>
      <c r="L60" s="146"/>
      <c r="M60" s="254" t="str">
        <f>VLOOKUP(CONCATENATE("13",Konfiguration_Configuration!$N$6),Daten!$B$5:$E$99,2,FALSE)</f>
        <v>1. Teil bestanden:  ja  nein</v>
      </c>
      <c r="N60" s="177"/>
      <c r="O60" s="146"/>
      <c r="P60" s="254" t="str">
        <f>VLOOKUP(CONCATENATE("13",Konfiguration_Configuration!$N$6),Daten!$B$5:$E$99,2,FALSE)</f>
        <v>1. Teil bestanden:  ja  nein</v>
      </c>
      <c r="Q60" s="177"/>
      <c r="R60" s="146"/>
      <c r="S60" s="241">
        <f>VLOOKUP(CONCATENATE("55",Konfiguration_Configuration!$N$6),Daten!$B$5:$E$99,3,FALSE)</f>
        <v>4.8</v>
      </c>
      <c r="T60" s="176"/>
      <c r="U60" s="254" t="str">
        <f>VLOOKUP(CONCATENATE("13",Konfiguration_Configuration!$N$6),Daten!$B$5:$E$99,2,FALSE)</f>
        <v>1. Teil bestanden:  ja  nein</v>
      </c>
      <c r="V60" s="177"/>
      <c r="W60" s="146"/>
      <c r="X60" s="254" t="str">
        <f>VLOOKUP(CONCATENATE("13",Konfiguration_Configuration!$N$6),Daten!$B$5:$E$99,2,FALSE)</f>
        <v>1. Teil bestanden:  ja  nein</v>
      </c>
      <c r="Y60" s="177"/>
      <c r="Z60" s="146"/>
      <c r="AA60" s="254" t="str">
        <f>VLOOKUP(CONCATENATE("13",Konfiguration_Configuration!$N$6),Daten!$B$5:$E$99,2,FALSE)</f>
        <v>1. Teil bestanden:  ja  nein</v>
      </c>
      <c r="AB60" s="177"/>
      <c r="AC60" s="146"/>
      <c r="AD60" s="254" t="str">
        <f>VLOOKUP(CONCATENATE("13",Konfiguration_Configuration!$N$6),Daten!$B$5:$E$99,2,FALSE)</f>
        <v>1. Teil bestanden:  ja  nein</v>
      </c>
      <c r="AE60" s="177"/>
      <c r="AF60" s="146"/>
      <c r="AG60" s="254" t="str">
        <f>VLOOKUP(CONCATENATE("13",Konfiguration_Configuration!$N$6),Daten!$B$5:$E$99,2,FALSE)</f>
        <v>1. Teil bestanden:  ja  nein</v>
      </c>
      <c r="AH60" s="177"/>
      <c r="AI60" s="146"/>
      <c r="AJ60" s="176"/>
      <c r="AK60" s="176"/>
      <c r="AL60" s="254" t="str">
        <f>VLOOKUP(CONCATENATE("13",Konfiguration_Configuration!$N$6),Daten!$B$5:$E$99,2,FALSE)</f>
        <v>1. Teil bestanden:  ja  nein</v>
      </c>
      <c r="AM60" s="177"/>
      <c r="AN60" s="146"/>
      <c r="AO60" s="254" t="str">
        <f>VLOOKUP(CONCATENATE("13",Konfiguration_Configuration!$N$6),Daten!$B$5:$E$99,2,FALSE)</f>
        <v>1. Teil bestanden:  ja  nein</v>
      </c>
      <c r="AP60" s="177"/>
      <c r="AQ60" s="146"/>
      <c r="AR60" s="254" t="str">
        <f>VLOOKUP(CONCATENATE("13",Konfiguration_Configuration!$N$6),Daten!$B$5:$E$99,2,FALSE)</f>
        <v>1. Teil bestanden:  ja  nein</v>
      </c>
      <c r="AS60" s="177"/>
      <c r="AT60" s="146"/>
      <c r="AU60" s="254" t="str">
        <f>VLOOKUP(CONCATENATE("13",Konfiguration_Configuration!$N$6),Daten!$B$5:$E$99,2,FALSE)</f>
        <v>1. Teil bestanden:  ja  nein</v>
      </c>
      <c r="AV60" s="177"/>
      <c r="AW60" s="146"/>
      <c r="AX60" s="254" t="str">
        <f>VLOOKUP(CONCATENATE("13",Konfiguration_Configuration!$N$6),Daten!$B$5:$E$99,2,FALSE)</f>
        <v>1. Teil bestanden:  ja  nein</v>
      </c>
      <c r="AY60" s="177"/>
      <c r="AZ60" s="146"/>
      <c r="BA60" s="176"/>
      <c r="BB60" s="176"/>
      <c r="BC60" s="254" t="str">
        <f>VLOOKUP(CONCATENATE("13",Konfiguration_Configuration!$N$6),Daten!$B$5:$E$99,2,FALSE)</f>
        <v>1. Teil bestanden:  ja  nein</v>
      </c>
      <c r="BD60" s="177"/>
      <c r="BE60" s="146"/>
      <c r="BF60" s="254" t="str">
        <f>VLOOKUP(CONCATENATE("13",Konfiguration_Configuration!$N$6),Daten!$B$5:$E$99,2,FALSE)</f>
        <v>1. Teil bestanden:  ja  nein</v>
      </c>
      <c r="BG60" s="177"/>
      <c r="BH60" s="146"/>
      <c r="BI60" s="254" t="str">
        <f>VLOOKUP(CONCATENATE("13",Konfiguration_Configuration!$N$6),Daten!$B$5:$E$99,2,FALSE)</f>
        <v>1. Teil bestanden:  ja  nein</v>
      </c>
      <c r="BJ60" s="177"/>
      <c r="BK60" s="146"/>
      <c r="BL60" s="254" t="str">
        <f>VLOOKUP(CONCATENATE("13",Konfiguration_Configuration!$N$6),Daten!$B$5:$E$99,2,FALSE)</f>
        <v>1. Teil bestanden:  ja  nein</v>
      </c>
      <c r="BM60" s="177"/>
      <c r="BN60" s="146"/>
      <c r="BO60" s="254" t="str">
        <f>VLOOKUP(CONCATENATE("13",Konfiguration_Configuration!$N$6),Daten!$B$5:$E$99,2,FALSE)</f>
        <v>1. Teil bestanden:  ja  nein</v>
      </c>
      <c r="BP60" s="177"/>
      <c r="BQ60" s="146"/>
      <c r="BT60" s="58"/>
    </row>
    <row r="61" spans="1:72" ht="15" customHeight="1">
      <c r="D61" s="256"/>
      <c r="U61" s="256"/>
      <c r="BT61" s="58"/>
    </row>
    <row r="62" spans="1:72" ht="15" customHeight="1">
      <c r="D62" s="156" t="str">
        <f>VLOOKUP(CONCATENATE("51",Konfiguration_Configuration!$N$6),Daten!$B$5:$C$99,2,FALSE)</f>
        <v>2 Komponenten:</v>
      </c>
      <c r="U62" s="156" t="str">
        <f>VLOOKUP(CONCATENATE("51",Konfiguration_Configuration!$N$6),Daten!$B$5:$C99,2,FALSE)</f>
        <v>2 Komponenten:</v>
      </c>
      <c r="BT62" s="58"/>
    </row>
    <row r="63" spans="1:72" ht="15" customHeight="1">
      <c r="D63" s="156" t="str">
        <f>VLOOKUP(CONCATENATE("52",Konfiguration_Configuration!$N$6),Daten!$B$5:$C$99,2,FALSE)</f>
        <v>Die Punktzahl beträgt für den (0,6 pro Schritt) TES: 1,8 Punkte</v>
      </c>
      <c r="E63" s="27"/>
      <c r="F63" s="27"/>
      <c r="G63" s="27"/>
      <c r="H63" s="27"/>
      <c r="I63" s="27"/>
      <c r="J63" s="27"/>
      <c r="K63" s="27"/>
      <c r="L63" s="27"/>
      <c r="M63" s="27"/>
      <c r="N63" s="27"/>
      <c r="U63" s="156" t="str">
        <f>VLOOKUP(CONCATENATE("52",Konfiguration_Configuration!$N$6),Daten!$B$5:$C$99,2,FALSE)</f>
        <v>Die Punktzahl beträgt für den (0,6 pro Schritt) TES: 1,8 Punkte</v>
      </c>
      <c r="V63" s="27"/>
      <c r="W63" s="27"/>
      <c r="X63" s="27"/>
      <c r="Y63" s="27"/>
      <c r="Z63" s="27"/>
      <c r="AA63" s="27"/>
      <c r="AB63" s="27"/>
      <c r="AC63" s="27"/>
      <c r="AD63" s="27"/>
      <c r="AE63" s="27"/>
      <c r="AL63" s="156" t="str">
        <f>VLOOKUP(CONCATENATE("51",Konfiguration_Configuration!$N$6),Daten!$B$5:$C$99,2,FALSE)</f>
        <v>2 Komponenten:</v>
      </c>
      <c r="AM63" s="27"/>
      <c r="AN63" s="27"/>
      <c r="AO63" s="27"/>
      <c r="AP63" s="27"/>
      <c r="AQ63" s="27"/>
      <c r="AR63" s="27"/>
      <c r="AS63" s="27"/>
      <c r="AT63" s="27"/>
      <c r="AU63" s="27"/>
      <c r="AV63" s="27"/>
      <c r="BC63" s="156" t="str">
        <f>VLOOKUP(CONCATENATE("51",Konfiguration_Configuration!$N$6),Daten!$B$5:$C$99,2,FALSE)</f>
        <v>2 Komponenten:</v>
      </c>
      <c r="BD63" s="27"/>
      <c r="BE63" s="27"/>
      <c r="BF63" s="27"/>
      <c r="BG63" s="27"/>
      <c r="BH63" s="27"/>
      <c r="BI63" s="27"/>
      <c r="BJ63" s="27"/>
      <c r="BK63" s="27"/>
      <c r="BL63" s="27"/>
      <c r="BM63" s="27"/>
    </row>
    <row r="64" spans="1:72" ht="15" customHeight="1">
      <c r="D64" s="156" t="str">
        <f>VLOOKUP(CONCATENATE("53",Konfiguration_Configuration!$N$6),Daten!$B$5:$C$99,2,FALSE)</f>
        <v>und einen Durchschnitt von 1,5 x 2 PCS: 3,0 Punkte</v>
      </c>
      <c r="E64" s="27"/>
      <c r="F64" s="27"/>
      <c r="G64" s="27"/>
      <c r="H64" s="27"/>
      <c r="I64" s="27"/>
      <c r="J64" s="27"/>
      <c r="K64" s="27"/>
      <c r="L64" s="27"/>
      <c r="M64" s="27"/>
      <c r="N64" s="27"/>
      <c r="U64" s="156" t="str">
        <f>VLOOKUP(CONCATENATE("53",Konfiguration_Configuration!$N$6),Daten!$B$5:$C$99,2,FALSE)</f>
        <v>und einen Durchschnitt von 1,5 x 2 PCS: 3,0 Punkte</v>
      </c>
      <c r="V64" s="27"/>
      <c r="W64" s="27"/>
      <c r="X64" s="27"/>
      <c r="Y64" s="27"/>
      <c r="Z64" s="27"/>
      <c r="AA64" s="27"/>
      <c r="AB64" s="27"/>
      <c r="AC64" s="27"/>
      <c r="AD64" s="27"/>
      <c r="AE64" s="27"/>
      <c r="AL64" s="156" t="str">
        <f>VLOOKUP(CONCATENATE("52",Konfiguration_Configuration!$N$6),Daten!$B$5:$C$99,2,FALSE)</f>
        <v>Die Punktzahl beträgt für den (0,6 pro Schritt) TES: 1,8 Punkte</v>
      </c>
      <c r="AM64" s="27"/>
      <c r="AN64" s="27"/>
      <c r="AO64" s="27"/>
      <c r="AP64" s="27"/>
      <c r="AQ64" s="27"/>
      <c r="AR64" s="27"/>
      <c r="AS64" s="27"/>
      <c r="AT64" s="27"/>
      <c r="AU64" s="27"/>
      <c r="AV64" s="27"/>
      <c r="BC64" s="156" t="str">
        <f>VLOOKUP(CONCATENATE("52",Konfiguration_Configuration!$N$6),Daten!$B$5:$C$99,2,FALSE)</f>
        <v>Die Punktzahl beträgt für den (0,6 pro Schritt) TES: 1,8 Punkte</v>
      </c>
      <c r="BD64" s="27"/>
      <c r="BE64" s="27"/>
      <c r="BF64" s="27"/>
      <c r="BG64" s="27"/>
      <c r="BH64" s="27"/>
      <c r="BI64" s="27"/>
      <c r="BJ64" s="27"/>
      <c r="BK64" s="27"/>
      <c r="BL64" s="27"/>
      <c r="BM64" s="27"/>
    </row>
    <row r="65" spans="1:73" ht="15" customHeight="1">
      <c r="D65" s="156" t="str">
        <f>VLOOKUP(CONCATENATE("54",Konfiguration_Configuration!$N$6),Daten!$B$5:$C$99,2,FALSE)</f>
        <v>Sturz: (-0,25 pro Sturz)</v>
      </c>
      <c r="E65" s="27"/>
      <c r="F65" s="27"/>
      <c r="G65" s="27"/>
      <c r="H65" s="27"/>
      <c r="I65" s="27"/>
      <c r="J65" s="27"/>
      <c r="K65" s="27"/>
      <c r="L65" s="27"/>
      <c r="M65" s="27"/>
      <c r="U65" s="156" t="str">
        <f>VLOOKUP(CONCATENATE("54",Konfiguration_Configuration!$N$6),Daten!$B$5:$C$99,2,FALSE)</f>
        <v>Sturz: (-0,25 pro Sturz)</v>
      </c>
      <c r="V65" s="27"/>
      <c r="W65" s="27"/>
      <c r="X65" s="27"/>
      <c r="Y65" s="27"/>
      <c r="Z65" s="27"/>
      <c r="AA65" s="27"/>
      <c r="AB65" s="27"/>
      <c r="AC65" s="27"/>
      <c r="AD65" s="27"/>
      <c r="AL65" s="156" t="str">
        <f>VLOOKUP(CONCATENATE("53",Konfiguration_Configuration!$N$6),Daten!$B$5:$C$99,2,FALSE)</f>
        <v>und einen Durchschnitt von 1,5 x 2 PCS: 3,0 Punkte</v>
      </c>
      <c r="AM65" s="27"/>
      <c r="AN65" s="27"/>
      <c r="AO65" s="27"/>
      <c r="AP65" s="27"/>
      <c r="AQ65" s="27"/>
      <c r="AR65" s="27"/>
      <c r="AS65" s="27"/>
      <c r="AT65" s="27"/>
      <c r="AU65" s="27"/>
      <c r="BC65" s="156" t="str">
        <f>VLOOKUP(CONCATENATE("53",Konfiguration_Configuration!$N$6),Daten!$B$5:$C$99,2,FALSE)</f>
        <v>und einen Durchschnitt von 1,5 x 2 PCS: 3,0 Punkte</v>
      </c>
      <c r="BD65" s="27"/>
      <c r="BE65" s="27"/>
      <c r="BF65" s="27"/>
      <c r="BG65" s="27"/>
      <c r="BH65" s="27"/>
      <c r="BI65" s="27"/>
      <c r="BJ65" s="27"/>
      <c r="BK65" s="27"/>
      <c r="BL65" s="27"/>
    </row>
    <row r="66" spans="1:73" ht="15" customHeight="1">
      <c r="D66" s="156" t="str">
        <f>VLOOKUP(CONCATENATE("55",Konfiguration_Configuration!$N$6),Daten!$B$5:$C$99,2,FALSE)</f>
        <v>zum Bestehen braucht der Läufer: TSS 4,8 Punkte</v>
      </c>
      <c r="E66" s="27"/>
      <c r="F66" s="27"/>
      <c r="G66" s="27"/>
      <c r="H66" s="27"/>
      <c r="I66" s="27"/>
      <c r="J66" s="27"/>
      <c r="K66" s="27"/>
      <c r="L66" s="27"/>
      <c r="M66" s="27"/>
      <c r="U66" s="156" t="str">
        <f>VLOOKUP(CONCATENATE("55",Konfiguration_Configuration!$N$6),Daten!$B$5:$C$99,2,FALSE)</f>
        <v>zum Bestehen braucht der Läufer: TSS 4,8 Punkte</v>
      </c>
      <c r="V66" s="27"/>
      <c r="W66" s="27"/>
      <c r="X66" s="27"/>
      <c r="Y66" s="27"/>
      <c r="Z66" s="27"/>
      <c r="AA66" s="27"/>
      <c r="AB66" s="27"/>
      <c r="AC66" s="27"/>
      <c r="AD66" s="27"/>
      <c r="AL66" s="156" t="str">
        <f>VLOOKUP(CONCATENATE("54",Konfiguration_Configuration!$N$6),Daten!$B$5:$C$99,2,FALSE)</f>
        <v>Sturz: (-0,25 pro Sturz)</v>
      </c>
      <c r="AM66" s="27"/>
      <c r="AN66" s="27"/>
      <c r="AO66" s="27"/>
      <c r="AP66" s="27"/>
      <c r="AQ66" s="27"/>
      <c r="AR66" s="27"/>
      <c r="AS66" s="27"/>
      <c r="AT66" s="27"/>
      <c r="AU66" s="27"/>
      <c r="BC66" s="156" t="str">
        <f>VLOOKUP(CONCATENATE("54",Konfiguration_Configuration!$N$6),Daten!$B$5:$C$99,2,FALSE)</f>
        <v>Sturz: (-0,25 pro Sturz)</v>
      </c>
      <c r="BD66" s="27"/>
      <c r="BE66" s="27"/>
      <c r="BF66" s="27"/>
      <c r="BG66" s="27"/>
      <c r="BH66" s="27"/>
      <c r="BI66" s="27"/>
      <c r="BJ66" s="27"/>
      <c r="BK66" s="27"/>
      <c r="BL66" s="27"/>
    </row>
    <row r="67" spans="1:73" ht="15" customHeight="1">
      <c r="D67" s="156"/>
      <c r="E67" s="27"/>
      <c r="AL67" s="156" t="str">
        <f>VLOOKUP(CONCATENATE("55",Konfiguration_Configuration!$N$6),Daten!$B$5:$C$99,2,FALSE)</f>
        <v>zum Bestehen braucht der Läufer: TSS 4,8 Punkte</v>
      </c>
      <c r="BC67" s="156" t="str">
        <f>VLOOKUP(CONCATENATE("55",Konfiguration_Configuration!$N$6),Daten!$B$5:$C$99,2,FALSE)</f>
        <v>zum Bestehen braucht der Läufer: TSS 4,8 Punkte</v>
      </c>
    </row>
    <row r="68" spans="1:73">
      <c r="E68" s="365" t="str">
        <f>VLOOKUP(CONCATENATE("56",Konfiguration_Configuration!N$6),Daten!B$5:E$99,2,FALSE)</f>
        <v>Unterschrift des Preisrichters __________________________________</v>
      </c>
      <c r="F68" s="365"/>
      <c r="G68" s="365"/>
      <c r="H68" s="365"/>
      <c r="I68" s="365"/>
      <c r="J68" s="365"/>
      <c r="K68" s="365"/>
      <c r="L68" s="365"/>
      <c r="M68" s="365"/>
      <c r="V68" s="365" t="str">
        <f>VLOOKUP(CONCATENATE("56",Konfiguration_Configuration!N$6),Daten!B$5:E$99,2,FALSE)</f>
        <v>Unterschrift des Preisrichters __________________________________</v>
      </c>
      <c r="W68" s="365"/>
      <c r="X68" s="365"/>
      <c r="Y68" s="365"/>
      <c r="Z68" s="365"/>
      <c r="AA68" s="365"/>
      <c r="AB68" s="365"/>
      <c r="AC68" s="365"/>
      <c r="AD68" s="365"/>
      <c r="AM68" s="365" t="str">
        <f>VLOOKUP(CONCATENATE("56",Konfiguration_Configuration!N$6),Daten!B$5:E$99,2,FALSE)</f>
        <v>Unterschrift des Preisrichters __________________________________</v>
      </c>
      <c r="AN68" s="365"/>
      <c r="AO68" s="365"/>
      <c r="AP68" s="365"/>
      <c r="AQ68" s="365"/>
      <c r="AR68" s="365"/>
      <c r="AS68" s="365"/>
      <c r="AT68" s="365"/>
      <c r="AU68" s="365"/>
      <c r="BD68" s="365" t="str">
        <f>VLOOKUP(CONCATENATE("56",Konfiguration_Configuration!N$6),Daten!B$5:E$99,2,FALSE)</f>
        <v>Unterschrift des Preisrichters __________________________________</v>
      </c>
      <c r="BE68" s="365"/>
      <c r="BF68" s="365"/>
      <c r="BG68" s="365"/>
      <c r="BH68" s="365"/>
      <c r="BI68" s="365"/>
      <c r="BJ68" s="365"/>
      <c r="BK68" s="365"/>
      <c r="BL68" s="365"/>
    </row>
    <row r="69" spans="1:73">
      <c r="A69" s="369" t="str">
        <f>Lizenzvermerk</f>
        <v>Version 1.3;
06.01.2024</v>
      </c>
      <c r="B69" s="370"/>
      <c r="C69" s="370"/>
      <c r="E69" s="365"/>
      <c r="F69" s="365"/>
      <c r="G69" s="365"/>
      <c r="H69" s="365"/>
      <c r="I69" s="365"/>
      <c r="J69" s="365"/>
      <c r="K69" s="365"/>
      <c r="L69" s="365"/>
      <c r="M69" s="365"/>
      <c r="V69" s="365"/>
      <c r="W69" s="365"/>
      <c r="X69" s="365"/>
      <c r="Y69" s="365"/>
      <c r="Z69" s="365"/>
      <c r="AA69" s="365"/>
      <c r="AB69" s="365"/>
      <c r="AC69" s="365"/>
      <c r="AD69" s="365"/>
      <c r="AM69" s="365"/>
      <c r="AN69" s="365"/>
      <c r="AO69" s="365"/>
      <c r="AP69" s="365"/>
      <c r="AQ69" s="365"/>
      <c r="AR69" s="365"/>
      <c r="AS69" s="365"/>
      <c r="AT69" s="365"/>
      <c r="AU69" s="365"/>
      <c r="BD69" s="365"/>
      <c r="BE69" s="365"/>
      <c r="BF69" s="365"/>
      <c r="BG69" s="365"/>
      <c r="BH69" s="365"/>
      <c r="BI69" s="365"/>
      <c r="BJ69" s="365"/>
      <c r="BK69" s="365"/>
      <c r="BL69" s="365"/>
    </row>
    <row r="70" spans="1:73" s="17" customFormat="1" ht="24.9" customHeight="1">
      <c r="A70" s="193" t="str">
        <f>CONCATENATE("A1:",Konfiguration_Configuration!N111,"159")</f>
        <v>A1:159</v>
      </c>
      <c r="B70" s="121"/>
      <c r="C70" s="121"/>
      <c r="D70" s="121"/>
      <c r="E70" s="122"/>
      <c r="F70" s="122"/>
      <c r="K70" s="123"/>
      <c r="L70" s="123"/>
      <c r="S70" s="121"/>
      <c r="T70" s="121"/>
      <c r="AJ70" s="121"/>
      <c r="AK70" s="121"/>
      <c r="BA70" s="121"/>
      <c r="BB70" s="121"/>
      <c r="BS70" s="26"/>
      <c r="BT70" s="26"/>
    </row>
    <row r="71" spans="1:73" s="18" customFormat="1" ht="15.75" customHeight="1">
      <c r="A71" s="114"/>
      <c r="B71" s="114"/>
      <c r="C71" s="114"/>
      <c r="D71" s="125" t="s">
        <v>197</v>
      </c>
      <c r="E71" s="125"/>
      <c r="F71" s="125"/>
      <c r="S71" s="114"/>
      <c r="T71" s="114"/>
      <c r="AJ71" s="114"/>
      <c r="AK71" s="114"/>
      <c r="BA71" s="114"/>
      <c r="BB71" s="114"/>
      <c r="BS71" s="55"/>
      <c r="BT71" s="55"/>
    </row>
    <row r="72" spans="1:73" ht="15.6">
      <c r="A72" s="126" t="str">
        <f>Konfiguration_Configuration!E$3</f>
        <v>Testname</v>
      </c>
      <c r="B72" s="127" t="str">
        <f>IF(Konfiguration_Configuration!$B$3="","",Konfiguration_Configuration!$B$3)</f>
        <v>SIS Inter-Bronze Stiltest</v>
      </c>
      <c r="C72" s="127"/>
      <c r="D72" s="127"/>
      <c r="E72" s="126"/>
      <c r="F72" s="126"/>
      <c r="G72" s="128" t="str">
        <f>Konfiguration_Configuration!J$12</f>
        <v>SchiedsrichterIn</v>
      </c>
      <c r="H72" s="178" t="str">
        <f>IF(Konfiguration_Configuration!$B$12="","",Konfiguration_Configuration!$B$12)&amp;IF(Konfiguration_Configuration!$E$12="","",", "&amp;Konfiguration_Configuration!$E$12)&amp;IF(Konfiguration_Configuration!$H$12="","",CONCATENATE(" (",Konfiguration_Configuration!$H$11," ",Konfiguration_Configuration!$H$12&amp;")"))</f>
        <v/>
      </c>
      <c r="I72" s="178"/>
      <c r="J72" s="178"/>
      <c r="S72" s="127" t="str">
        <f>IF(Konfiguration_Configuration!$B$3="","",Konfiguration_Configuration!$B$3)</f>
        <v>SIS Inter-Bronze Stiltest</v>
      </c>
      <c r="T72" s="127"/>
      <c r="U72" s="147"/>
      <c r="V72" s="147"/>
      <c r="X72" s="128" t="str">
        <f>Konfiguration_Configuration!$J$12</f>
        <v>SchiedsrichterIn</v>
      </c>
      <c r="Y72" s="178" t="str">
        <f>H72</f>
        <v/>
      </c>
      <c r="Z72" s="178"/>
      <c r="AA72" s="178"/>
      <c r="AJ72" s="127" t="str">
        <f>IF(Konfiguration_Configuration!$B$3="","",Konfiguration_Configuration!$B$3)</f>
        <v>SIS Inter-Bronze Stiltest</v>
      </c>
      <c r="AK72" s="127"/>
      <c r="AL72" s="147"/>
      <c r="AM72" s="147"/>
      <c r="AO72" s="128" t="str">
        <f>Konfiguration_Configuration!$J$12</f>
        <v>SchiedsrichterIn</v>
      </c>
      <c r="AP72" s="178" t="str">
        <f>H72</f>
        <v/>
      </c>
      <c r="AQ72" s="178"/>
      <c r="AR72" s="178"/>
      <c r="BA72" s="127" t="str">
        <f>IF(Konfiguration_Configuration!$B$3="","",Konfiguration_Configuration!$B$3)</f>
        <v>SIS Inter-Bronze Stiltest</v>
      </c>
      <c r="BB72" s="127"/>
      <c r="BC72" s="147"/>
      <c r="BD72" s="147"/>
      <c r="BF72" s="128" t="str">
        <f>Konfiguration_Configuration!$J$12</f>
        <v>SchiedsrichterIn</v>
      </c>
      <c r="BG72" s="178" t="str">
        <f>H72</f>
        <v/>
      </c>
      <c r="BH72" s="178"/>
      <c r="BI72"/>
    </row>
    <row r="73" spans="1:73" ht="15" customHeight="1">
      <c r="A73" s="126" t="str">
        <f>Konfiguration_Configuration!E$4</f>
        <v>Austragungsort</v>
      </c>
      <c r="B73" s="127" t="str">
        <f>IF(Konfiguration_Configuration!$B$4="","",Konfiguration_Configuration!$B$4)</f>
        <v/>
      </c>
      <c r="C73" s="127"/>
      <c r="D73" s="127"/>
      <c r="E73" s="126"/>
      <c r="F73" s="126"/>
      <c r="G73" s="252" t="str">
        <f>Konfiguration_Configuration!J$13</f>
        <v>PreisrichterIn 2</v>
      </c>
      <c r="H73" s="178" t="str">
        <f>IF(Konfiguration_Configuration!$B$13="","",Konfiguration_Configuration!$B$13)&amp;IF(Konfiguration_Configuration!$E$13="","",", "&amp;Konfiguration_Configuration!$E$13)&amp;IF(Konfiguration_Configuration!$H$13="","",CONCATENATE(" (",Konfiguration_Configuration!$H$11," ",Konfiguration_Configuration!$H$13&amp;")"))</f>
        <v/>
      </c>
      <c r="I73" s="178"/>
      <c r="J73" s="178"/>
      <c r="S73" s="127" t="str">
        <f>IF(Konfiguration_Configuration!$B$4="","",Konfiguration_Configuration!$B$4)</f>
        <v/>
      </c>
      <c r="T73" s="127"/>
      <c r="U73" s="147"/>
      <c r="V73" s="147"/>
      <c r="X73" s="252" t="str">
        <f>Konfiguration_Configuration!$J$13</f>
        <v>PreisrichterIn 2</v>
      </c>
      <c r="Y73" s="178" t="str">
        <f t="shared" ref="Y73:Y75" si="7">H73</f>
        <v/>
      </c>
      <c r="Z73" s="178"/>
      <c r="AA73" s="178"/>
      <c r="AJ73" s="127" t="str">
        <f>IF(Konfiguration_Configuration!$B$4="","",Konfiguration_Configuration!$B$4)</f>
        <v/>
      </c>
      <c r="AK73" s="127"/>
      <c r="AL73" s="147"/>
      <c r="AM73" s="147"/>
      <c r="AO73" s="252" t="str">
        <f>Konfiguration_Configuration!$J$13</f>
        <v>PreisrichterIn 2</v>
      </c>
      <c r="AP73" s="178" t="str">
        <f t="shared" ref="AP73:AP75" si="8">H73</f>
        <v/>
      </c>
      <c r="AQ73" s="178"/>
      <c r="AR73" s="178"/>
      <c r="BA73" s="127" t="str">
        <f>IF(Konfiguration_Configuration!$B$4="","",Konfiguration_Configuration!$B$4)</f>
        <v/>
      </c>
      <c r="BB73" s="127"/>
      <c r="BC73" s="147"/>
      <c r="BD73" s="147"/>
      <c r="BF73" s="252" t="str">
        <f>Konfiguration_Configuration!$J$13</f>
        <v>PreisrichterIn 2</v>
      </c>
      <c r="BG73" s="178" t="str">
        <f t="shared" ref="BG73:BG75" si="9">H73</f>
        <v/>
      </c>
      <c r="BH73" s="178"/>
      <c r="BI73"/>
      <c r="BS73" s="56"/>
      <c r="BT73" s="56"/>
      <c r="BU73" s="130"/>
    </row>
    <row r="74" spans="1:73" ht="15.6">
      <c r="A74" s="126" t="str">
        <f>Konfiguration_Configuration!E$5</f>
        <v>Datum</v>
      </c>
      <c r="B74" s="364" t="str">
        <f>IF(Konfiguration_Configuration!$B$5="","",Konfiguration_Configuration!$B$5)</f>
        <v/>
      </c>
      <c r="C74" s="357"/>
      <c r="D74" s="127"/>
      <c r="E74" s="126"/>
      <c r="F74" s="126"/>
      <c r="G74" s="128" t="str">
        <f>Konfiguration_Configuration!J$14</f>
        <v>PreisrichterIn 3</v>
      </c>
      <c r="H74" s="178" t="str">
        <f>IF(Konfiguration_Configuration!$B$14="","",Konfiguration_Configuration!$B$14)&amp;IF(Konfiguration_Configuration!$E$14="","",", "&amp;Konfiguration_Configuration!$E$14)&amp;IF(Konfiguration_Configuration!$H$14="","",CONCATENATE(" (",Konfiguration_Configuration!$H$11," ",Konfiguration_Configuration!$H$14&amp;")"))</f>
        <v/>
      </c>
      <c r="I74" s="178"/>
      <c r="J74" s="178"/>
      <c r="S74" s="356" t="str">
        <f>IF(Konfiguration_Configuration!$B$5="","",Konfiguration_Configuration!$B$5)</f>
        <v/>
      </c>
      <c r="T74" s="357"/>
      <c r="U74" s="147"/>
      <c r="V74" s="147"/>
      <c r="X74" s="128" t="str">
        <f>Konfiguration_Configuration!$J$14</f>
        <v>PreisrichterIn 3</v>
      </c>
      <c r="Y74" s="178" t="str">
        <f t="shared" si="7"/>
        <v/>
      </c>
      <c r="Z74" s="178"/>
      <c r="AA74" s="178"/>
      <c r="AJ74" s="356" t="str">
        <f>IF(Konfiguration_Configuration!$B$5="","",Konfiguration_Configuration!$B$5)</f>
        <v/>
      </c>
      <c r="AK74" s="357"/>
      <c r="AL74" s="147"/>
      <c r="AM74" s="147"/>
      <c r="AO74" s="128" t="str">
        <f>Konfiguration_Configuration!$J$14</f>
        <v>PreisrichterIn 3</v>
      </c>
      <c r="AP74" s="178" t="str">
        <f t="shared" si="8"/>
        <v/>
      </c>
      <c r="AQ74" s="178"/>
      <c r="AR74" s="178"/>
      <c r="BA74" s="356" t="str">
        <f>IF(Konfiguration_Configuration!$B$5="","",Konfiguration_Configuration!$B$5)</f>
        <v/>
      </c>
      <c r="BB74" s="357"/>
      <c r="BC74" s="147"/>
      <c r="BD74" s="147"/>
      <c r="BF74" s="128" t="str">
        <f>Konfiguration_Configuration!$J$14</f>
        <v>PreisrichterIn 3</v>
      </c>
      <c r="BG74" s="178" t="str">
        <f t="shared" si="9"/>
        <v/>
      </c>
      <c r="BH74" s="178"/>
      <c r="BI74"/>
      <c r="BT74" s="56"/>
      <c r="BU74" s="130"/>
    </row>
    <row r="75" spans="1:73" ht="15.6">
      <c r="A75" s="126" t="str">
        <f>Konfiguration_Configuration!E$6</f>
        <v>Testklasse</v>
      </c>
      <c r="B75" s="127">
        <f>IF(Konfiguration_Configuration!$B$6="","",Konfiguration_Configuration!$B$6)</f>
        <v>6</v>
      </c>
      <c r="C75" s="127"/>
      <c r="D75" s="127"/>
      <c r="E75" s="126"/>
      <c r="F75" s="126"/>
      <c r="G75" s="128" t="str">
        <f>Konfiguration_Configuration!J$15</f>
        <v>Verantwortliche/r der Tests</v>
      </c>
      <c r="H75" s="178" t="str">
        <f>IF(Konfiguration_Configuration!$B$15="","",Konfiguration_Configuration!$B$15)&amp;IF(Konfiguration_Configuration!$E$15="","",", "&amp;Konfiguration_Configuration!$E$15)&amp;IF(Konfiguration_Configuration!$H$15="","",CONCATENATE(" (",Konfiguration_Configuration!$H$11," ",Konfiguration_Configuration!$H$15&amp;")"))</f>
        <v/>
      </c>
      <c r="I75" s="178"/>
      <c r="J75" s="178"/>
      <c r="S75" s="127">
        <f>IF(Konfiguration_Configuration!$B$6="","",Konfiguration_Configuration!$B$6)</f>
        <v>6</v>
      </c>
      <c r="T75" s="127"/>
      <c r="U75" s="147"/>
      <c r="V75" s="147"/>
      <c r="X75" s="128" t="str">
        <f>Konfiguration_Configuration!$J$15</f>
        <v>Verantwortliche/r der Tests</v>
      </c>
      <c r="Y75" s="178" t="str">
        <f t="shared" si="7"/>
        <v/>
      </c>
      <c r="Z75" s="178"/>
      <c r="AA75" s="178"/>
      <c r="AJ75" s="127">
        <f>IF(Konfiguration_Configuration!$B$6="","",Konfiguration_Configuration!$B$6)</f>
        <v>6</v>
      </c>
      <c r="AK75" s="127"/>
      <c r="AL75" s="147"/>
      <c r="AM75" s="147"/>
      <c r="AO75" s="128" t="str">
        <f>Konfiguration_Configuration!$J$15</f>
        <v>Verantwortliche/r der Tests</v>
      </c>
      <c r="AP75" s="178" t="str">
        <f t="shared" si="8"/>
        <v/>
      </c>
      <c r="AQ75" s="178"/>
      <c r="AR75" s="178"/>
      <c r="BA75" s="127">
        <f>IF(Konfiguration_Configuration!$B$6="","",Konfiguration_Configuration!$B$6)</f>
        <v>6</v>
      </c>
      <c r="BB75" s="127"/>
      <c r="BC75" s="147"/>
      <c r="BD75" s="147"/>
      <c r="BF75" s="128" t="str">
        <f>Konfiguration_Configuration!$J$15</f>
        <v>Verantwortliche/r der Tests</v>
      </c>
      <c r="BG75" s="178" t="str">
        <f t="shared" si="9"/>
        <v/>
      </c>
      <c r="BH75" s="178"/>
      <c r="BI75"/>
      <c r="BT75" s="56"/>
      <c r="BU75" s="130"/>
    </row>
    <row r="76" spans="1:73" ht="15" customHeight="1" collapsed="1">
      <c r="A76" s="124"/>
      <c r="B76" s="124"/>
      <c r="C76" s="124"/>
      <c r="D76" s="126"/>
      <c r="E76" s="126"/>
      <c r="F76" s="126"/>
      <c r="G76" s="128"/>
      <c r="H76" s="128"/>
      <c r="I76" s="128"/>
      <c r="Q76" s="157"/>
      <c r="R76" s="157"/>
      <c r="S76" s="124"/>
      <c r="T76" s="124"/>
      <c r="AH76" s="157"/>
      <c r="AI76" s="157"/>
      <c r="AJ76" s="124"/>
      <c r="AK76" s="124"/>
      <c r="AY76" s="171"/>
      <c r="BA76" s="124"/>
      <c r="BB76" s="124"/>
      <c r="BP76" s="157"/>
      <c r="BQ76" s="157"/>
      <c r="BT76" s="56"/>
      <c r="BU76" s="130"/>
    </row>
    <row r="77" spans="1:73" s="54" customFormat="1" ht="15" hidden="1" customHeight="1" outlineLevel="1">
      <c r="A77" s="57" t="s">
        <v>198</v>
      </c>
      <c r="B77" s="57"/>
      <c r="C77" s="57" t="s">
        <v>199</v>
      </c>
      <c r="D77" s="57" t="s">
        <v>200</v>
      </c>
      <c r="E77" s="57"/>
      <c r="F77" s="57"/>
      <c r="G77" s="57" t="s">
        <v>201</v>
      </c>
      <c r="H77" s="57"/>
      <c r="I77" s="57"/>
      <c r="J77" s="57" t="s">
        <v>202</v>
      </c>
      <c r="K77" s="57"/>
      <c r="L77" s="57"/>
      <c r="M77" s="57" t="s">
        <v>203</v>
      </c>
      <c r="N77" s="57"/>
      <c r="O77" s="57"/>
      <c r="P77" s="57" t="s">
        <v>204</v>
      </c>
      <c r="Q77" s="57"/>
      <c r="R77" s="57"/>
      <c r="S77" s="57"/>
      <c r="T77" s="57"/>
      <c r="U77" s="57" t="s">
        <v>205</v>
      </c>
      <c r="V77" s="57"/>
      <c r="W77" s="57"/>
      <c r="X77" s="57" t="s">
        <v>206</v>
      </c>
      <c r="Y77" s="57"/>
      <c r="Z77" s="57"/>
      <c r="AA77" s="57" t="s">
        <v>207</v>
      </c>
      <c r="AB77" s="57"/>
      <c r="AC77" s="57"/>
      <c r="AD77" s="57" t="s">
        <v>208</v>
      </c>
      <c r="AE77" s="57"/>
      <c r="AF77" s="57"/>
      <c r="AG77" s="57" t="s">
        <v>209</v>
      </c>
      <c r="AH77" s="57"/>
      <c r="AI77" s="57"/>
      <c r="AL77" s="57" t="s">
        <v>210</v>
      </c>
      <c r="AM77" s="57"/>
      <c r="AN77" s="57"/>
      <c r="AO77" s="57" t="s">
        <v>211</v>
      </c>
      <c r="AP77" s="57"/>
      <c r="AQ77" s="57"/>
      <c r="AR77" s="57" t="s">
        <v>212</v>
      </c>
      <c r="AS77" s="57"/>
      <c r="AT77" s="57"/>
      <c r="AU77" s="57" t="s">
        <v>213</v>
      </c>
      <c r="AV77" s="57"/>
      <c r="AW77" s="57"/>
      <c r="AX77" s="57" t="s">
        <v>214</v>
      </c>
      <c r="AY77" s="57"/>
      <c r="AZ77" s="57"/>
      <c r="BC77" s="57" t="s">
        <v>215</v>
      </c>
      <c r="BD77" s="57"/>
      <c r="BE77" s="57"/>
      <c r="BF77" s="57" t="s">
        <v>216</v>
      </c>
      <c r="BG77" s="57"/>
      <c r="BH77" s="57"/>
      <c r="BI77" s="57" t="s">
        <v>217</v>
      </c>
      <c r="BJ77" s="57"/>
      <c r="BK77" s="57"/>
      <c r="BL77" s="57" t="s">
        <v>218</v>
      </c>
      <c r="BM77" s="57"/>
      <c r="BN77" s="57"/>
      <c r="BO77" s="57" t="s">
        <v>219</v>
      </c>
      <c r="BP77" s="85"/>
      <c r="BQ77" s="85"/>
    </row>
    <row r="78" spans="1:73" s="54" customFormat="1" ht="15" hidden="1" customHeight="1" outlineLevel="1">
      <c r="A78" s="57" t="s">
        <v>220</v>
      </c>
      <c r="B78" s="70"/>
      <c r="C78" s="182" t="s">
        <v>221</v>
      </c>
      <c r="D78" s="182" t="s">
        <v>222</v>
      </c>
      <c r="E78" s="70"/>
      <c r="F78" s="70"/>
      <c r="G78" s="182" t="s">
        <v>223</v>
      </c>
      <c r="H78" s="70"/>
      <c r="I78" s="70"/>
      <c r="J78" s="182" t="s">
        <v>224</v>
      </c>
      <c r="K78" s="70"/>
      <c r="L78" s="70"/>
      <c r="M78" s="182" t="s">
        <v>225</v>
      </c>
      <c r="N78" s="70"/>
      <c r="O78" s="70"/>
      <c r="P78" s="182" t="s">
        <v>226</v>
      </c>
      <c r="Q78" s="70"/>
      <c r="R78" s="70"/>
      <c r="U78" s="182" t="s">
        <v>227</v>
      </c>
      <c r="V78" s="70"/>
      <c r="W78" s="70"/>
      <c r="X78" s="182" t="s">
        <v>228</v>
      </c>
      <c r="Y78" s="70"/>
      <c r="Z78" s="70"/>
      <c r="AA78" s="182" t="s">
        <v>229</v>
      </c>
      <c r="AB78" s="70"/>
      <c r="AC78" s="70"/>
      <c r="AD78" s="182" t="s">
        <v>230</v>
      </c>
      <c r="AE78" s="70"/>
      <c r="AF78" s="70"/>
      <c r="AG78" s="182" t="s">
        <v>231</v>
      </c>
      <c r="AH78" s="70"/>
      <c r="AI78" s="70"/>
      <c r="AL78" s="182" t="s">
        <v>232</v>
      </c>
      <c r="AM78" s="70"/>
      <c r="AN78" s="70"/>
      <c r="AO78" s="182" t="s">
        <v>233</v>
      </c>
      <c r="AP78" s="70"/>
      <c r="AQ78" s="70"/>
      <c r="AR78" s="182" t="s">
        <v>234</v>
      </c>
      <c r="AS78" s="70"/>
      <c r="AT78" s="70"/>
      <c r="AU78" s="182" t="s">
        <v>235</v>
      </c>
      <c r="AV78" s="70"/>
      <c r="AW78" s="70"/>
      <c r="AX78" s="182" t="s">
        <v>236</v>
      </c>
      <c r="AY78" s="70"/>
      <c r="AZ78" s="70"/>
      <c r="BC78" s="182" t="s">
        <v>237</v>
      </c>
      <c r="BD78" s="70"/>
      <c r="BE78" s="70"/>
      <c r="BF78" s="182" t="s">
        <v>238</v>
      </c>
      <c r="BG78" s="70"/>
      <c r="BH78" s="70"/>
      <c r="BI78" s="182" t="s">
        <v>239</v>
      </c>
      <c r="BJ78" s="70"/>
      <c r="BK78" s="70"/>
      <c r="BL78" s="182" t="s">
        <v>240</v>
      </c>
      <c r="BM78" s="70"/>
      <c r="BN78" s="70"/>
      <c r="BO78" s="182" t="s">
        <v>241</v>
      </c>
      <c r="BP78" s="115"/>
      <c r="BQ78" s="115"/>
    </row>
    <row r="79" spans="1:73" ht="15" customHeight="1">
      <c r="D79" s="156" t="str">
        <f>IF(Konfiguration_Configuration!$B$2=Konfiguration_Configuration!$L$1,'Notizenblatt_Feuille de juge'!D77,'Notizenblatt_Feuille de juge'!D78)</f>
        <v>TN1</v>
      </c>
      <c r="E79" s="156"/>
      <c r="F79" s="156"/>
      <c r="G79" s="156" t="str">
        <f>IF(Konfiguration_Configuration!$B$2=Konfiguration_Configuration!$L$1,'Notizenblatt_Feuille de juge'!G77,'Notizenblatt_Feuille de juge'!G78)</f>
        <v>TN2</v>
      </c>
      <c r="H79" s="156"/>
      <c r="I79" s="156"/>
      <c r="J79" s="156" t="str">
        <f>IF(Konfiguration_Configuration!$B$2=Konfiguration_Configuration!$L$1,'Notizenblatt_Feuille de juge'!J77,'Notizenblatt_Feuille de juge'!J78)</f>
        <v>TN3</v>
      </c>
      <c r="K79" s="156"/>
      <c r="L79" s="156"/>
      <c r="M79" s="156" t="str">
        <f>IF(Konfiguration_Configuration!$B$2=Konfiguration_Configuration!$L$1,'Notizenblatt_Feuille de juge'!M77,'Notizenblatt_Feuille de juge'!M78)</f>
        <v>TN4</v>
      </c>
      <c r="N79" s="156"/>
      <c r="O79" s="156"/>
      <c r="P79" s="156" t="str">
        <f>IF(Konfiguration_Configuration!$B$2=Konfiguration_Configuration!$L$1,'Notizenblatt_Feuille de juge'!P77,'Notizenblatt_Feuille de juge'!P78)</f>
        <v>TN5</v>
      </c>
      <c r="Q79" s="156"/>
      <c r="R79" s="156"/>
      <c r="U79" s="156" t="str">
        <f>IF(Konfiguration_Configuration!$B$2=Konfiguration_Configuration!$L$1,'Notizenblatt_Feuille de juge'!U77,'Notizenblatt_Feuille de juge'!U78)</f>
        <v>TN6</v>
      </c>
      <c r="V79" s="156"/>
      <c r="W79" s="156"/>
      <c r="X79" s="156" t="str">
        <f>IF(Konfiguration_Configuration!$B$2=Konfiguration_Configuration!$L$1,'Notizenblatt_Feuille de juge'!X77,'Notizenblatt_Feuille de juge'!X78)</f>
        <v>TN7</v>
      </c>
      <c r="Y79" s="156"/>
      <c r="Z79" s="156"/>
      <c r="AA79" s="156" t="str">
        <f>IF(Konfiguration_Configuration!$B$2=Konfiguration_Configuration!$L$1,'Notizenblatt_Feuille de juge'!AA77,'Notizenblatt_Feuille de juge'!AA78)</f>
        <v>TN8</v>
      </c>
      <c r="AB79" s="156"/>
      <c r="AC79" s="156"/>
      <c r="AD79" s="156" t="str">
        <f>IF(Konfiguration_Configuration!$B$2=Konfiguration_Configuration!$L$1,'Notizenblatt_Feuille de juge'!AD77,'Notizenblatt_Feuille de juge'!AD78)</f>
        <v>TN9</v>
      </c>
      <c r="AE79" s="156"/>
      <c r="AF79" s="156"/>
      <c r="AG79" s="156" t="str">
        <f>IF(Konfiguration_Configuration!$B$2=Konfiguration_Configuration!$L$1,'Notizenblatt_Feuille de juge'!AG77,'Notizenblatt_Feuille de juge'!AG78)</f>
        <v>TN10</v>
      </c>
      <c r="AH79" s="156"/>
      <c r="AI79" s="156"/>
      <c r="AL79" s="156" t="str">
        <f>IF(Konfiguration_Configuration!$B$2=Konfiguration_Configuration!$L$1,'Notizenblatt_Feuille de juge'!AL77,'Notizenblatt_Feuille de juge'!AL78)</f>
        <v>TN11</v>
      </c>
      <c r="AM79" s="156"/>
      <c r="AN79" s="156"/>
      <c r="AO79" s="156" t="str">
        <f>IF(Konfiguration_Configuration!$B$2=Konfiguration_Configuration!$L$1,'Notizenblatt_Feuille de juge'!AO77,'Notizenblatt_Feuille de juge'!AO78)</f>
        <v>TN12</v>
      </c>
      <c r="AP79" s="156"/>
      <c r="AQ79" s="156"/>
      <c r="AR79" s="156" t="str">
        <f>IF(Konfiguration_Configuration!$B$2=Konfiguration_Configuration!$L$1,'Notizenblatt_Feuille de juge'!AR77,'Notizenblatt_Feuille de juge'!AR78)</f>
        <v>TN13</v>
      </c>
      <c r="AS79" s="156"/>
      <c r="AT79" s="156"/>
      <c r="AU79" s="156" t="str">
        <f>IF(Konfiguration_Configuration!$B$2=Konfiguration_Configuration!$L$1,'Notizenblatt_Feuille de juge'!AU77,'Notizenblatt_Feuille de juge'!AU78)</f>
        <v>TN14</v>
      </c>
      <c r="AV79" s="156"/>
      <c r="AW79" s="156"/>
      <c r="AX79" s="156" t="str">
        <f>IF(Konfiguration_Configuration!$B$2=Konfiguration_Configuration!$L$1,'Notizenblatt_Feuille de juge'!AX77,'Notizenblatt_Feuille de juge'!AX78)</f>
        <v>TN15</v>
      </c>
      <c r="AY79" s="156"/>
      <c r="AZ79" s="156"/>
      <c r="BC79" s="156" t="str">
        <f>IF(Konfiguration_Configuration!$B$2=Konfiguration_Configuration!$L$1,'Notizenblatt_Feuille de juge'!BC77,'Notizenblatt_Feuille de juge'!BC78)</f>
        <v>TN16</v>
      </c>
      <c r="BD79" s="156"/>
      <c r="BE79" s="156"/>
      <c r="BF79" s="156" t="str">
        <f>IF(Konfiguration_Configuration!$B$2=Konfiguration_Configuration!$L$1,'Notizenblatt_Feuille de juge'!BF77,'Notizenblatt_Feuille de juge'!BF78)</f>
        <v>TN17</v>
      </c>
      <c r="BG79" s="156"/>
      <c r="BH79" s="156"/>
      <c r="BI79" s="156" t="str">
        <f>IF(Konfiguration_Configuration!$B$2=Konfiguration_Configuration!$L$1,'Notizenblatt_Feuille de juge'!BI77,'Notizenblatt_Feuille de juge'!BI78)</f>
        <v>TN18</v>
      </c>
      <c r="BJ79" s="156"/>
      <c r="BK79" s="156"/>
      <c r="BL79" s="156" t="str">
        <f>IF(Konfiguration_Configuration!$B$2=Konfiguration_Configuration!$L$1,'Notizenblatt_Feuille de juge'!BL77,'Notizenblatt_Feuille de juge'!BL78)</f>
        <v>TN19</v>
      </c>
      <c r="BM79" s="156"/>
      <c r="BN79" s="156"/>
      <c r="BO79" s="156" t="str">
        <f>IF(Konfiguration_Configuration!$B$2=Konfiguration_Configuration!$L$1,'Notizenblatt_Feuille de juge'!BO77,'Notizenblatt_Feuille de juge'!BO78)</f>
        <v>TN20</v>
      </c>
      <c r="BP79" s="156"/>
      <c r="BQ79" s="156"/>
    </row>
    <row r="80" spans="1:73" ht="21" customHeight="1">
      <c r="A80" s="148"/>
      <c r="B80" s="172" t="str">
        <f>Konfiguration_Configuration!B$21</f>
        <v>Name</v>
      </c>
      <c r="C80" s="159"/>
      <c r="D80" s="173" t="str">
        <f>IF(Konfiguration_Configuration!$B$22="","",Konfiguration_Configuration!$B$22)</f>
        <v/>
      </c>
      <c r="E80" s="173"/>
      <c r="F80" s="174"/>
      <c r="G80" s="162" t="str">
        <f>IF(Konfiguration_Configuration!$B$23="","",Konfiguration_Configuration!$B$23)</f>
        <v/>
      </c>
      <c r="H80" s="163"/>
      <c r="I80" s="164"/>
      <c r="J80" s="162" t="str">
        <f>IF(Konfiguration_Configuration!$B$24="","",Konfiguration_Configuration!$B$24)</f>
        <v/>
      </c>
      <c r="K80" s="163"/>
      <c r="L80" s="164"/>
      <c r="M80" s="162" t="str">
        <f>IF(Konfiguration_Configuration!$B$25="","",Konfiguration_Configuration!$B$25)</f>
        <v/>
      </c>
      <c r="N80" s="163"/>
      <c r="O80" s="164"/>
      <c r="P80" s="162" t="str">
        <f>IF(Konfiguration_Configuration!$B$26="","",Konfiguration_Configuration!$B$26)</f>
        <v/>
      </c>
      <c r="Q80" s="163"/>
      <c r="R80" s="164"/>
      <c r="S80" s="158" t="str">
        <f>B80</f>
        <v>Name</v>
      </c>
      <c r="T80" s="159"/>
      <c r="U80" s="162" t="str">
        <f>IF(Konfiguration_Configuration!$B$27="","",Konfiguration_Configuration!$B$27)</f>
        <v/>
      </c>
      <c r="V80" s="163"/>
      <c r="W80" s="164"/>
      <c r="X80" s="162" t="str">
        <f>IF(Konfiguration_Configuration!$B$28="","",Konfiguration_Configuration!$B$28)</f>
        <v/>
      </c>
      <c r="Y80" s="163"/>
      <c r="Z80" s="164"/>
      <c r="AA80" s="162" t="str">
        <f>IF(Konfiguration_Configuration!$B$29="","",Konfiguration_Configuration!$B$29)</f>
        <v/>
      </c>
      <c r="AB80" s="163"/>
      <c r="AC80" s="164"/>
      <c r="AD80" s="162" t="str">
        <f>IF(Konfiguration_Configuration!$B$30="","",Konfiguration_Configuration!$B$30)</f>
        <v/>
      </c>
      <c r="AE80" s="163"/>
      <c r="AF80" s="164"/>
      <c r="AG80" s="162" t="str">
        <f>IF(Konfiguration_Configuration!$B$31="","",Konfiguration_Configuration!$B$31)</f>
        <v/>
      </c>
      <c r="AH80" s="163"/>
      <c r="AI80" s="164"/>
      <c r="AJ80" s="158" t="str">
        <f>B80</f>
        <v>Name</v>
      </c>
      <c r="AK80" s="159"/>
      <c r="AL80" s="162" t="str">
        <f>IF(Konfiguration_Configuration!$B$32="","",Konfiguration_Configuration!$B$32)</f>
        <v/>
      </c>
      <c r="AM80" s="163"/>
      <c r="AN80" s="164"/>
      <c r="AO80" s="162" t="str">
        <f>IF(Konfiguration_Configuration!$B$33="","",Konfiguration_Configuration!$B$33)</f>
        <v/>
      </c>
      <c r="AP80" s="163"/>
      <c r="AQ80" s="164"/>
      <c r="AR80" s="162" t="str">
        <f>IF(Konfiguration_Configuration!$B$34="","",Konfiguration_Configuration!$B$34)</f>
        <v/>
      </c>
      <c r="AS80" s="163"/>
      <c r="AT80" s="164"/>
      <c r="AU80" s="162" t="str">
        <f>IF(Konfiguration_Configuration!$B$35="","",Konfiguration_Configuration!$B$35)</f>
        <v/>
      </c>
      <c r="AV80" s="163"/>
      <c r="AW80" s="164"/>
      <c r="AX80" s="162" t="str">
        <f>IF(Konfiguration_Configuration!$B$36="","",Konfiguration_Configuration!$B$36)</f>
        <v/>
      </c>
      <c r="AY80" s="163"/>
      <c r="AZ80" s="164"/>
      <c r="BA80" s="158" t="str">
        <f>B80</f>
        <v>Name</v>
      </c>
      <c r="BB80" s="159"/>
      <c r="BC80" s="162" t="str">
        <f>IF(Konfiguration_Configuration!$B$37="","",Konfiguration_Configuration!$B$37)</f>
        <v/>
      </c>
      <c r="BD80" s="163"/>
      <c r="BE80" s="164"/>
      <c r="BF80" s="162" t="str">
        <f>IF(Konfiguration_Configuration!$B$38="","",Konfiguration_Configuration!$B$38)</f>
        <v/>
      </c>
      <c r="BG80" s="163"/>
      <c r="BH80" s="164"/>
      <c r="BI80" s="162" t="str">
        <f>IF(Konfiguration_Configuration!$B$39="","",Konfiguration_Configuration!$B$39)</f>
        <v/>
      </c>
      <c r="BJ80" s="163"/>
      <c r="BK80" s="164"/>
      <c r="BL80" s="162" t="str">
        <f>IF(Konfiguration_Configuration!$B$40="","",Konfiguration_Configuration!$B$40)</f>
        <v/>
      </c>
      <c r="BM80" s="163"/>
      <c r="BN80" s="164"/>
      <c r="BO80" s="162" t="str">
        <f>IF(Konfiguration_Configuration!$B$41="","",Konfiguration_Configuration!$B$41)</f>
        <v/>
      </c>
      <c r="BP80" s="163"/>
      <c r="BQ80" s="164"/>
    </row>
    <row r="81" spans="1:69" ht="25.5" customHeight="1">
      <c r="A81" s="131"/>
      <c r="B81" s="160" t="str">
        <f>Konfiguration_Configuration!E$11</f>
        <v>Klub</v>
      </c>
      <c r="C81" s="161"/>
      <c r="D81" s="179" t="str">
        <f>IF(Konfiguration_Configuration!$E$22="","",Konfiguration_Configuration!$E$22) &amp; IF(Konfiguration_Configuration!$H$22="",""," / " &amp; Konfiguration_Configuration!$H$22)</f>
        <v/>
      </c>
      <c r="E81" s="180"/>
      <c r="F81" s="181"/>
      <c r="G81" s="165" t="str">
        <f>IF(Konfiguration_Configuration!$E$23="","",Konfiguration_Configuration!$E$23) &amp; IF(Konfiguration_Configuration!$H$23="",""," / " &amp; Konfiguration_Configuration!$H$23)</f>
        <v/>
      </c>
      <c r="H81" s="166"/>
      <c r="I81" s="167"/>
      <c r="J81" s="165" t="str">
        <f>IF(Konfiguration_Configuration!$E$24="","",Konfiguration_Configuration!$E$24) &amp; IF(Konfiguration_Configuration!$H$24="",""," / " &amp; Konfiguration_Configuration!$H$24)</f>
        <v/>
      </c>
      <c r="K81" s="166"/>
      <c r="L81" s="167"/>
      <c r="M81" s="165" t="str">
        <f>IF(Konfiguration_Configuration!$E$25="","",Konfiguration_Configuration!$E$25) &amp; IF(Konfiguration_Configuration!$H$25="",""," / " &amp; Konfiguration_Configuration!$H$25)</f>
        <v/>
      </c>
      <c r="N81" s="166"/>
      <c r="O81" s="167"/>
      <c r="P81" s="165" t="str">
        <f>IF(Konfiguration_Configuration!$E$26="","",Konfiguration_Configuration!$E$26) &amp; IF(Konfiguration_Configuration!$H$26="",""," / " &amp; Konfiguration_Configuration!$H$26)</f>
        <v/>
      </c>
      <c r="Q81" s="166"/>
      <c r="R81" s="167"/>
      <c r="S81" s="160" t="str">
        <f>B81</f>
        <v>Klub</v>
      </c>
      <c r="T81" s="161"/>
      <c r="U81" s="165" t="str">
        <f>IF(Konfiguration_Configuration!$E$27="","",Konfiguration_Configuration!$E$27) &amp; IF(Konfiguration_Configuration!$H$27="",""," / " &amp; Konfiguration_Configuration!$H$27)</f>
        <v/>
      </c>
      <c r="V81" s="166"/>
      <c r="W81" s="167"/>
      <c r="X81" s="165" t="str">
        <f>IF(Konfiguration_Configuration!$E$28="","",Konfiguration_Configuration!$E$28) &amp; IF(Konfiguration_Configuration!$H$28="",""," / " &amp; Konfiguration_Configuration!$H$28)</f>
        <v/>
      </c>
      <c r="Y81" s="166"/>
      <c r="Z81" s="167"/>
      <c r="AA81" s="165" t="str">
        <f>IF(Konfiguration_Configuration!$E$29="","",Konfiguration_Configuration!$E$29) &amp; IF(Konfiguration_Configuration!$H$29="",""," / " &amp; Konfiguration_Configuration!$H$29)</f>
        <v/>
      </c>
      <c r="AB81" s="166"/>
      <c r="AC81" s="167"/>
      <c r="AD81" s="165" t="str">
        <f>IF(Konfiguration_Configuration!$E$30="","",Konfiguration_Configuration!$E$30) &amp; IF(Konfiguration_Configuration!$H$30="",""," / " &amp; Konfiguration_Configuration!$H$30)</f>
        <v/>
      </c>
      <c r="AE81" s="166"/>
      <c r="AF81" s="167"/>
      <c r="AG81" s="165" t="str">
        <f>IF(Konfiguration_Configuration!$E$31="","",Konfiguration_Configuration!$E$31) &amp; IF(Konfiguration_Configuration!$H$31="",""," / " &amp; Konfiguration_Configuration!$H$31)</f>
        <v/>
      </c>
      <c r="AH81" s="166"/>
      <c r="AI81" s="167"/>
      <c r="AJ81" s="160" t="str">
        <f>B81</f>
        <v>Klub</v>
      </c>
      <c r="AK81" s="161"/>
      <c r="AL81" s="165" t="str">
        <f>IF(Konfiguration_Configuration!$E$32="","",Konfiguration_Configuration!$E$32) &amp; IF(Konfiguration_Configuration!$H$32="",""," / " &amp; Konfiguration_Configuration!$H$32)</f>
        <v/>
      </c>
      <c r="AM81" s="166"/>
      <c r="AN81" s="167"/>
      <c r="AO81" s="165" t="str">
        <f>IF(Konfiguration_Configuration!$E$33="","",Konfiguration_Configuration!$E$33) &amp; IF(Konfiguration_Configuration!$H$33="",""," / " &amp; Konfiguration_Configuration!$H$33)</f>
        <v/>
      </c>
      <c r="AP81" s="166"/>
      <c r="AQ81" s="167"/>
      <c r="AR81" s="165" t="str">
        <f>IF(Konfiguration_Configuration!$E$34="","",Konfiguration_Configuration!$E$34) &amp; IF(Konfiguration_Configuration!$H$34="",""," / " &amp; Konfiguration_Configuration!$H$34)</f>
        <v/>
      </c>
      <c r="AS81" s="166"/>
      <c r="AT81" s="167"/>
      <c r="AU81" s="165" t="str">
        <f>IF(Konfiguration_Configuration!$E$35="","",Konfiguration_Configuration!$E$35) &amp; IF(Konfiguration_Configuration!$H$35="",""," / " &amp; Konfiguration_Configuration!$H$35)</f>
        <v/>
      </c>
      <c r="AV81" s="166"/>
      <c r="AW81" s="167"/>
      <c r="AX81" s="165" t="str">
        <f>IF(Konfiguration_Configuration!$E$36="","",Konfiguration_Configuration!$E$36) &amp; IF(Konfiguration_Configuration!$H$36="",""," / " &amp; Konfiguration_Configuration!$H$36)</f>
        <v/>
      </c>
      <c r="AY81" s="166"/>
      <c r="AZ81" s="167"/>
      <c r="BA81" s="160" t="str">
        <f>B81</f>
        <v>Klub</v>
      </c>
      <c r="BB81" s="161"/>
      <c r="BC81" s="165" t="str">
        <f>IF(Konfiguration_Configuration!$E$37="","",Konfiguration_Configuration!$E$37) &amp; IF(Konfiguration_Configuration!$H$37="",""," / " &amp; Konfiguration_Configuration!$H$37)</f>
        <v/>
      </c>
      <c r="BD81" s="166"/>
      <c r="BE81" s="167"/>
      <c r="BF81" s="165" t="str">
        <f>IF(Konfiguration_Configuration!$E$38="","",Konfiguration_Configuration!$E$38) &amp; IF(Konfiguration_Configuration!$H$38="",""," / " &amp; Konfiguration_Configuration!$H$38)</f>
        <v/>
      </c>
      <c r="BG81" s="166"/>
      <c r="BH81" s="167"/>
      <c r="BI81" s="165" t="str">
        <f>IF(Konfiguration_Configuration!$E$39="","",Konfiguration_Configuration!$E$39) &amp; IF(Konfiguration_Configuration!$H$39="",""," / " &amp; Konfiguration_Configuration!$H$39)</f>
        <v/>
      </c>
      <c r="BJ81" s="166"/>
      <c r="BK81" s="167"/>
      <c r="BL81" s="165" t="str">
        <f>IF(Konfiguration_Configuration!$E$40="","",Konfiguration_Configuration!$E$40) &amp; IF(Konfiguration_Configuration!$H$40="",""," / " &amp; Konfiguration_Configuration!$H$40)</f>
        <v/>
      </c>
      <c r="BM81" s="166"/>
      <c r="BN81" s="167"/>
      <c r="BO81" s="165" t="str">
        <f>IF(Konfiguration_Configuration!$E$41="","",Konfiguration_Configuration!$E$41) &amp; IF(Konfiguration_Configuration!$H$41="",""," / " &amp; Konfiguration_Configuration!$H$41)</f>
        <v/>
      </c>
      <c r="BP81" s="166"/>
      <c r="BQ81" s="167"/>
    </row>
    <row r="82" spans="1:69" ht="32.1" customHeight="1">
      <c r="A82" s="132" t="str">
        <f>Daten!C$4</f>
        <v>Elemente</v>
      </c>
      <c r="B82" s="133" t="s">
        <v>242</v>
      </c>
      <c r="C82" s="134"/>
      <c r="D82" s="183" t="str">
        <f>IF(Konfiguration_Configuration!$B$2=Konfiguration_Configuration!$L$1,'Notizenblatt_Feuille de juge'!$A$8,'Notizenblatt_Feuille de juge'!$A$9)</f>
        <v>Bemerkungen</v>
      </c>
      <c r="E82" s="135" t="s">
        <v>243</v>
      </c>
      <c r="F82" s="183" t="str">
        <f>IF(Konfiguration_Configuration!$B$2=Konfiguration_Configuration!$L$1,'Notizenblatt_Feuille de juge'!$C$8,'Notizenblatt_Feuille de juge'!$C$9)</f>
        <v>Wert</v>
      </c>
      <c r="G82" s="183" t="str">
        <f>IF(Konfiguration_Configuration!$B$2=Konfiguration_Configuration!$L$1,'Notizenblatt_Feuille de juge'!$A$8,'Notizenblatt_Feuille de juge'!$A$9)</f>
        <v>Bemerkungen</v>
      </c>
      <c r="H82" s="135" t="s">
        <v>243</v>
      </c>
      <c r="I82" s="183" t="str">
        <f>IF(Konfiguration_Configuration!$B$2=Konfiguration_Configuration!$L$1,'Notizenblatt_Feuille de juge'!$C$8,'Notizenblatt_Feuille de juge'!$C$9)</f>
        <v>Wert</v>
      </c>
      <c r="J82" s="183" t="str">
        <f>IF(Konfiguration_Configuration!$B$2=Konfiguration_Configuration!$L$1,'Notizenblatt_Feuille de juge'!$A$8,'Notizenblatt_Feuille de juge'!$A$9)</f>
        <v>Bemerkungen</v>
      </c>
      <c r="K82" s="135" t="s">
        <v>243</v>
      </c>
      <c r="L82" s="183" t="str">
        <f>IF(Konfiguration_Configuration!$B$2=Konfiguration_Configuration!$L$1,'Notizenblatt_Feuille de juge'!$C$8,'Notizenblatt_Feuille de juge'!$C$9)</f>
        <v>Wert</v>
      </c>
      <c r="M82" s="183" t="str">
        <f>IF(Konfiguration_Configuration!$B$2=Konfiguration_Configuration!$L$1,'Notizenblatt_Feuille de juge'!$A$8,'Notizenblatt_Feuille de juge'!$A$9)</f>
        <v>Bemerkungen</v>
      </c>
      <c r="N82" s="135" t="s">
        <v>243</v>
      </c>
      <c r="O82" s="183" t="str">
        <f>IF(Konfiguration_Configuration!$B$2=Konfiguration_Configuration!$L$1,'Notizenblatt_Feuille de juge'!$C$8,'Notizenblatt_Feuille de juge'!$C$9)</f>
        <v>Wert</v>
      </c>
      <c r="P82" s="183" t="str">
        <f>IF(Konfiguration_Configuration!$B$2=Konfiguration_Configuration!$L$1,'Notizenblatt_Feuille de juge'!$A$8,'Notizenblatt_Feuille de juge'!$A$9)</f>
        <v>Bemerkungen</v>
      </c>
      <c r="Q82" s="135" t="s">
        <v>243</v>
      </c>
      <c r="R82" s="183" t="str">
        <f>IF(Konfiguration_Configuration!$B$2=Konfiguration_Configuration!$L$1,'Notizenblatt_Feuille de juge'!$C$8,'Notizenblatt_Feuille de juge'!$C$9)</f>
        <v>Wert</v>
      </c>
      <c r="S82" s="133" t="s">
        <v>242</v>
      </c>
      <c r="T82" s="134"/>
      <c r="U82" s="183" t="str">
        <f>IF(Konfiguration_Configuration!$B$2=Konfiguration_Configuration!$L$1,'Notizenblatt_Feuille de juge'!$A$8,'Notizenblatt_Feuille de juge'!$A$9)</f>
        <v>Bemerkungen</v>
      </c>
      <c r="V82" s="135" t="s">
        <v>243</v>
      </c>
      <c r="W82" s="183" t="str">
        <f>IF(Konfiguration_Configuration!$B$2=Konfiguration_Configuration!$L$1,'Notizenblatt_Feuille de juge'!$C$8,'Notizenblatt_Feuille de juge'!$C$9)</f>
        <v>Wert</v>
      </c>
      <c r="X82" s="183" t="str">
        <f>IF(Konfiguration_Configuration!$B$2=Konfiguration_Configuration!$L$1,'Notizenblatt_Feuille de juge'!$A$8,'Notizenblatt_Feuille de juge'!$A$9)</f>
        <v>Bemerkungen</v>
      </c>
      <c r="Y82" s="135" t="s">
        <v>243</v>
      </c>
      <c r="Z82" s="183" t="str">
        <f>IF(Konfiguration_Configuration!$B$2=Konfiguration_Configuration!$L$1,'Notizenblatt_Feuille de juge'!$C$8,'Notizenblatt_Feuille de juge'!$C$9)</f>
        <v>Wert</v>
      </c>
      <c r="AA82" s="183" t="str">
        <f>IF(Konfiguration_Configuration!$B$2=Konfiguration_Configuration!$L$1,'Notizenblatt_Feuille de juge'!$A$8,'Notizenblatt_Feuille de juge'!$A$9)</f>
        <v>Bemerkungen</v>
      </c>
      <c r="AB82" s="135" t="s">
        <v>243</v>
      </c>
      <c r="AC82" s="183" t="str">
        <f>IF(Konfiguration_Configuration!$B$2=Konfiguration_Configuration!$L$1,'Notizenblatt_Feuille de juge'!$C$8,'Notizenblatt_Feuille de juge'!$C$9)</f>
        <v>Wert</v>
      </c>
      <c r="AD82" s="183" t="str">
        <f>IF(Konfiguration_Configuration!$B$2=Konfiguration_Configuration!$L$1,'Notizenblatt_Feuille de juge'!$A$8,'Notizenblatt_Feuille de juge'!$A$9)</f>
        <v>Bemerkungen</v>
      </c>
      <c r="AE82" s="135" t="s">
        <v>243</v>
      </c>
      <c r="AF82" s="183" t="str">
        <f>IF(Konfiguration_Configuration!$B$2=Konfiguration_Configuration!$L$1,'Notizenblatt_Feuille de juge'!$C$8,'Notizenblatt_Feuille de juge'!$C$9)</f>
        <v>Wert</v>
      </c>
      <c r="AG82" s="183" t="str">
        <f>IF(Konfiguration_Configuration!$B$2=Konfiguration_Configuration!$L$1,'Notizenblatt_Feuille de juge'!$A$8,'Notizenblatt_Feuille de juge'!$A$9)</f>
        <v>Bemerkungen</v>
      </c>
      <c r="AH82" s="135" t="s">
        <v>243</v>
      </c>
      <c r="AI82" s="183" t="str">
        <f>IF(Konfiguration_Configuration!$B$2=Konfiguration_Configuration!$L$1,'Notizenblatt_Feuille de juge'!$C$8,'Notizenblatt_Feuille de juge'!$C$9)</f>
        <v>Wert</v>
      </c>
      <c r="AJ82" s="133" t="s">
        <v>242</v>
      </c>
      <c r="AK82" s="134"/>
      <c r="AL82" s="183" t="str">
        <f>IF(Konfiguration_Configuration!$B$2=Konfiguration_Configuration!$L$1,'Notizenblatt_Feuille de juge'!$A$8,'Notizenblatt_Feuille de juge'!$A$9)</f>
        <v>Bemerkungen</v>
      </c>
      <c r="AM82" s="135" t="s">
        <v>243</v>
      </c>
      <c r="AN82" s="183" t="str">
        <f>IF(Konfiguration_Configuration!$B$2=Konfiguration_Configuration!$L$1,'Notizenblatt_Feuille de juge'!$C$8,'Notizenblatt_Feuille de juge'!$C$9)</f>
        <v>Wert</v>
      </c>
      <c r="AO82" s="183" t="str">
        <f>IF(Konfiguration_Configuration!$B$2=Konfiguration_Configuration!$L$1,'Notizenblatt_Feuille de juge'!$A$8,'Notizenblatt_Feuille de juge'!$A$9)</f>
        <v>Bemerkungen</v>
      </c>
      <c r="AP82" s="135" t="s">
        <v>243</v>
      </c>
      <c r="AQ82" s="183" t="str">
        <f>IF(Konfiguration_Configuration!$B$2=Konfiguration_Configuration!$L$1,'Notizenblatt_Feuille de juge'!$C$8,'Notizenblatt_Feuille de juge'!$C$9)</f>
        <v>Wert</v>
      </c>
      <c r="AR82" s="183" t="str">
        <f>IF(Konfiguration_Configuration!$B$2=Konfiguration_Configuration!$L$1,'Notizenblatt_Feuille de juge'!$A$8,'Notizenblatt_Feuille de juge'!$A$9)</f>
        <v>Bemerkungen</v>
      </c>
      <c r="AS82" s="135" t="s">
        <v>243</v>
      </c>
      <c r="AT82" s="183" t="str">
        <f>IF(Konfiguration_Configuration!$B$2=Konfiguration_Configuration!$L$1,'Notizenblatt_Feuille de juge'!$C$8,'Notizenblatt_Feuille de juge'!$C$9)</f>
        <v>Wert</v>
      </c>
      <c r="AU82" s="183" t="str">
        <f>IF(Konfiguration_Configuration!$B$2=Konfiguration_Configuration!$L$1,'Notizenblatt_Feuille de juge'!$A$8,'Notizenblatt_Feuille de juge'!$A$9)</f>
        <v>Bemerkungen</v>
      </c>
      <c r="AV82" s="135" t="s">
        <v>243</v>
      </c>
      <c r="AW82" s="183" t="str">
        <f>IF(Konfiguration_Configuration!$B$2=Konfiguration_Configuration!$L$1,'Notizenblatt_Feuille de juge'!$C$8,'Notizenblatt_Feuille de juge'!$C$9)</f>
        <v>Wert</v>
      </c>
      <c r="AX82" s="183" t="str">
        <f>IF(Konfiguration_Configuration!$B$2=Konfiguration_Configuration!$L$1,'Notizenblatt_Feuille de juge'!$A$8,'Notizenblatt_Feuille de juge'!$A$9)</f>
        <v>Bemerkungen</v>
      </c>
      <c r="AY82" s="135" t="s">
        <v>243</v>
      </c>
      <c r="AZ82" s="183" t="str">
        <f>IF(Konfiguration_Configuration!$B$2=Konfiguration_Configuration!$L$1,'Notizenblatt_Feuille de juge'!$C$8,'Notizenblatt_Feuille de juge'!$C$9)</f>
        <v>Wert</v>
      </c>
      <c r="BA82" s="133" t="s">
        <v>242</v>
      </c>
      <c r="BB82" s="134"/>
      <c r="BC82" s="183" t="str">
        <f>IF(Konfiguration_Configuration!$B$2=Konfiguration_Configuration!$L$1,'Notizenblatt_Feuille de juge'!$A$8,'Notizenblatt_Feuille de juge'!$A$9)</f>
        <v>Bemerkungen</v>
      </c>
      <c r="BD82" s="135" t="s">
        <v>243</v>
      </c>
      <c r="BE82" s="183" t="str">
        <f>IF(Konfiguration_Configuration!$B$2=Konfiguration_Configuration!$L$1,'Notizenblatt_Feuille de juge'!$C$8,'Notizenblatt_Feuille de juge'!$C$9)</f>
        <v>Wert</v>
      </c>
      <c r="BF82" s="183" t="str">
        <f>IF(Konfiguration_Configuration!$B$2=Konfiguration_Configuration!$L$1,'Notizenblatt_Feuille de juge'!$A$8,'Notizenblatt_Feuille de juge'!$A$9)</f>
        <v>Bemerkungen</v>
      </c>
      <c r="BG82" s="135" t="s">
        <v>243</v>
      </c>
      <c r="BH82" s="183" t="str">
        <f>IF(Konfiguration_Configuration!$B$2=Konfiguration_Configuration!$L$1,'Notizenblatt_Feuille de juge'!$C$8,'Notizenblatt_Feuille de juge'!$C$9)</f>
        <v>Wert</v>
      </c>
      <c r="BI82" s="183" t="str">
        <f>IF(Konfiguration_Configuration!$B$2=Konfiguration_Configuration!$L$1,'Notizenblatt_Feuille de juge'!$A$8,'Notizenblatt_Feuille de juge'!$A$9)</f>
        <v>Bemerkungen</v>
      </c>
      <c r="BJ82" s="135" t="s">
        <v>243</v>
      </c>
      <c r="BK82" s="183" t="str">
        <f>IF(Konfiguration_Configuration!$B$2=Konfiguration_Configuration!$L$1,'Notizenblatt_Feuille de juge'!$C$8,'Notizenblatt_Feuille de juge'!$C$9)</f>
        <v>Wert</v>
      </c>
      <c r="BL82" s="183" t="str">
        <f>IF(Konfiguration_Configuration!$B$2=Konfiguration_Configuration!$L$1,'Notizenblatt_Feuille de juge'!$A$8,'Notizenblatt_Feuille de juge'!$A$9)</f>
        <v>Bemerkungen</v>
      </c>
      <c r="BM82" s="135" t="s">
        <v>243</v>
      </c>
      <c r="BN82" s="183" t="str">
        <f>IF(Konfiguration_Configuration!$B$2=Konfiguration_Configuration!$L$1,'Notizenblatt_Feuille de juge'!$C$8,'Notizenblatt_Feuille de juge'!$C$9)</f>
        <v>Wert</v>
      </c>
      <c r="BO82" s="183" t="str">
        <f>IF(Konfiguration_Configuration!$B$2=Konfiguration_Configuration!$L$1,'Notizenblatt_Feuille de juge'!$A$8,'Notizenblatt_Feuille de juge'!$A$9)</f>
        <v>Bemerkungen</v>
      </c>
      <c r="BP82" s="135" t="s">
        <v>243</v>
      </c>
      <c r="BQ82" s="183" t="str">
        <f>IF(Konfiguration_Configuration!$B$2=Konfiguration_Configuration!$L$1,'Notizenblatt_Feuille de juge'!$C$8,'Notizenblatt_Feuille de juge'!$C$9)</f>
        <v>Wert</v>
      </c>
    </row>
    <row r="83" spans="1:69" ht="32.1" customHeight="1">
      <c r="A83" s="136" t="str">
        <f>CONCATENATE(LEFT(A$13,LEN(A$13)-1)," 1:")</f>
        <v>Element 1:</v>
      </c>
      <c r="B83" s="168">
        <f>VLOOKUP(CONCATENATE("1",Konfiguration_Configuration!$N$6),Daten!$B$5:$E$99,3,FALSE)</f>
        <v>1</v>
      </c>
      <c r="C83" s="137" t="s">
        <v>244</v>
      </c>
      <c r="D83" s="239" t="str">
        <f>IF(VLOOKUP(CONCATENATE("1",Konfiguration_Configuration!$N$6),Daten!$B$5:$F$99,5,FALSE)=1,"R/d","")</f>
        <v/>
      </c>
      <c r="E83" s="184"/>
      <c r="F83" s="188"/>
      <c r="G83" s="239" t="str">
        <f>IF(VLOOKUP(CONCATENATE("1",Konfiguration_Configuration!$N$6),Daten!$B$5:$F$99,5,FALSE)=1,"R/d","")</f>
        <v/>
      </c>
      <c r="H83" s="184"/>
      <c r="I83" s="188"/>
      <c r="J83" s="239" t="str">
        <f>IF(VLOOKUP(CONCATENATE("1",Konfiguration_Configuration!$N$6),Daten!$B$5:$F$99,5,FALSE)=1,"R/d","")</f>
        <v/>
      </c>
      <c r="K83" s="184"/>
      <c r="L83" s="188"/>
      <c r="M83" s="239" t="str">
        <f>IF(VLOOKUP(CONCATENATE("1",Konfiguration_Configuration!$N$6),Daten!$B$5:$F$99,5,FALSE)=1,"R/d","")</f>
        <v/>
      </c>
      <c r="N83" s="184"/>
      <c r="O83" s="188"/>
      <c r="P83" s="239" t="str">
        <f>IF(VLOOKUP(CONCATENATE("1",Konfiguration_Configuration!$N$6),Daten!$B$5:$F$99,5,FALSE)=1,"R/d","")</f>
        <v/>
      </c>
      <c r="Q83" s="184"/>
      <c r="R83" s="188"/>
      <c r="S83" s="168">
        <f>VLOOKUP(CONCATENATE("1",Konfiguration_Configuration!$N$6),Daten!$B$5:$E$99,3,FALSE)</f>
        <v>1</v>
      </c>
      <c r="T83" s="137" t="s">
        <v>244</v>
      </c>
      <c r="U83" s="239" t="str">
        <f>IF(VLOOKUP(CONCATENATE("1",Konfiguration_Configuration!$N$6),Daten!$B$5:$F$99,5,FALSE)=1,"R/d","")</f>
        <v/>
      </c>
      <c r="V83" s="184"/>
      <c r="W83" s="188"/>
      <c r="X83" s="239" t="str">
        <f>IF(VLOOKUP(CONCATENATE("1",Konfiguration_Configuration!$N$6),Daten!$B$5:$F$99,5,FALSE)=1,"R/d","")</f>
        <v/>
      </c>
      <c r="Y83" s="184"/>
      <c r="Z83" s="188"/>
      <c r="AA83" s="239" t="str">
        <f>IF(VLOOKUP(CONCATENATE("1",Konfiguration_Configuration!$N$6),Daten!$B$5:$F$99,5,FALSE)=1,"R/d","")</f>
        <v/>
      </c>
      <c r="AB83" s="184"/>
      <c r="AC83" s="188"/>
      <c r="AD83" s="239" t="str">
        <f>IF(VLOOKUP(CONCATENATE("1",Konfiguration_Configuration!$N$6),Daten!$B$5:$F$99,5,FALSE)=1,"R/d","")</f>
        <v/>
      </c>
      <c r="AE83" s="184"/>
      <c r="AF83" s="188"/>
      <c r="AG83" s="239" t="str">
        <f>IF(VLOOKUP(CONCATENATE("1",Konfiguration_Configuration!$N$6),Daten!$B$5:$F$99,5,FALSE)=1,"R/d","")</f>
        <v/>
      </c>
      <c r="AH83" s="184"/>
      <c r="AI83" s="188"/>
      <c r="AJ83" s="168">
        <f>VLOOKUP(CONCATENATE("1",Konfiguration_Configuration!$N$6),Daten!$B$5:$E$99,3,FALSE)</f>
        <v>1</v>
      </c>
      <c r="AK83" s="137" t="s">
        <v>244</v>
      </c>
      <c r="AL83" s="239" t="str">
        <f>IF(VLOOKUP(CONCATENATE("1",Konfiguration_Configuration!$N$6),Daten!$B$5:$F$99,5,FALSE)=1,"R/d","")</f>
        <v/>
      </c>
      <c r="AM83" s="184"/>
      <c r="AN83" s="188"/>
      <c r="AO83" s="239" t="str">
        <f>IF(VLOOKUP(CONCATENATE("1",Konfiguration_Configuration!$N$6),Daten!$B$5:$F$99,5,FALSE)=1,"R/d","")</f>
        <v/>
      </c>
      <c r="AP83" s="184"/>
      <c r="AQ83" s="188"/>
      <c r="AR83" s="239" t="str">
        <f>IF(VLOOKUP(CONCATENATE("1",Konfiguration_Configuration!$N$6),Daten!$B$5:$F$99,5,FALSE)=1,"R/d","")</f>
        <v/>
      </c>
      <c r="AS83" s="184"/>
      <c r="AT83" s="188"/>
      <c r="AU83" s="239" t="str">
        <f>IF(VLOOKUP(CONCATENATE("1",Konfiguration_Configuration!$N$6),Daten!$B$5:$F$99,5,FALSE)=1,"R/d","")</f>
        <v/>
      </c>
      <c r="AV83" s="184"/>
      <c r="AW83" s="188"/>
      <c r="AX83" s="239" t="str">
        <f>IF(VLOOKUP(CONCATENATE("1",Konfiguration_Configuration!$N$6),Daten!$B$5:$F$99,5,FALSE)=1,"R/d","")</f>
        <v/>
      </c>
      <c r="AY83" s="184"/>
      <c r="AZ83" s="188"/>
      <c r="BA83" s="168">
        <f>VLOOKUP(CONCATENATE("1",Konfiguration_Configuration!$N$6),Daten!$B$5:$E$99,3,FALSE)</f>
        <v>1</v>
      </c>
      <c r="BB83" s="137" t="s">
        <v>244</v>
      </c>
      <c r="BC83" s="239" t="str">
        <f>IF(VLOOKUP(CONCATENATE("1",Konfiguration_Configuration!$N$6),Daten!$B$5:$F$99,5,FALSE)=1,"R/d","")</f>
        <v/>
      </c>
      <c r="BD83" s="184"/>
      <c r="BE83" s="188"/>
      <c r="BF83" s="239" t="str">
        <f>IF(VLOOKUP(CONCATENATE("1",Konfiguration_Configuration!$N$6),Daten!$B$5:$F$99,5,FALSE)=1,"R/d","")</f>
        <v/>
      </c>
      <c r="BG83" s="184"/>
      <c r="BH83" s="188"/>
      <c r="BI83" s="239" t="str">
        <f>IF(VLOOKUP(CONCATENATE("1",Konfiguration_Configuration!$N$6),Daten!$B$5:$F$99,5,FALSE)=1,"R/d","")</f>
        <v/>
      </c>
      <c r="BJ83" s="184"/>
      <c r="BK83" s="188"/>
      <c r="BL83" s="239" t="str">
        <f>IF(VLOOKUP(CONCATENATE("1",Konfiguration_Configuration!$N$6),Daten!$B$5:$F$99,5,FALSE)=1,"R/d","")</f>
        <v/>
      </c>
      <c r="BM83" s="184"/>
      <c r="BN83" s="188"/>
      <c r="BO83" s="239" t="str">
        <f>IF(VLOOKUP(CONCATENATE("1",Konfiguration_Configuration!$N$6),Daten!$B$5:$F$99,5,FALSE)=1,"R/d","")</f>
        <v/>
      </c>
      <c r="BP83" s="184"/>
      <c r="BQ83" s="188"/>
    </row>
    <row r="84" spans="1:69" ht="32.1" customHeight="1">
      <c r="A84" s="371" t="str">
        <f>VLOOKUP(CONCATENATE("1",Konfiguration_Configuration!$N$6),Daten!$B$5:$E$99,2,FALSE)</f>
        <v>v Übersetzen</v>
      </c>
      <c r="B84" s="169"/>
      <c r="C84" s="138"/>
      <c r="D84" s="232" t="str">
        <f>IF(VLOOKUP(CONCATENATE("1",Konfiguration_Configuration!$N$6),Daten!$B$5:$F$99,5,FALSE)=1,"L/g","")</f>
        <v/>
      </c>
      <c r="E84" s="185"/>
      <c r="F84" s="187" t="str">
        <f>IF(E83="","",MAX(E83,E84,E85)/10*$B$14+$B$14)</f>
        <v/>
      </c>
      <c r="G84" s="232" t="str">
        <f>IF(VLOOKUP(CONCATENATE("1",Konfiguration_Configuration!$N$6),Daten!$B$5:$F$99,5,FALSE)=1,"L/g","")</f>
        <v/>
      </c>
      <c r="H84" s="185"/>
      <c r="I84" s="187" t="str">
        <f>IF(H83="","",MAX(H83,H84,H85)/10*$B$14+$B$14)</f>
        <v/>
      </c>
      <c r="J84" s="232" t="str">
        <f>IF(VLOOKUP(CONCATENATE("1",Konfiguration_Configuration!$N$6),Daten!$B$5:$F$99,5,FALSE)=1,"L/g","")</f>
        <v/>
      </c>
      <c r="K84" s="185"/>
      <c r="L84" s="187" t="str">
        <f>IF(K83="","",MAX(K83,K84,K85)/10*$B$14+$B$14)</f>
        <v/>
      </c>
      <c r="M84" s="232" t="str">
        <f>IF(VLOOKUP(CONCATENATE("1",Konfiguration_Configuration!$N$6),Daten!$B$5:$F$99,5,FALSE)=1,"L/g","")</f>
        <v/>
      </c>
      <c r="N84" s="185"/>
      <c r="O84" s="187" t="str">
        <f>IF(N83="","",MAX(N83,N84,N85)/10*$B$14+$B$14)</f>
        <v/>
      </c>
      <c r="P84" s="232" t="str">
        <f>IF(VLOOKUP(CONCATENATE("1",Konfiguration_Configuration!$N$6),Daten!$B$5:$F$99,5,FALSE)=1,"L/g","")</f>
        <v/>
      </c>
      <c r="Q84" s="185"/>
      <c r="R84" s="187" t="str">
        <f>IF(Q83="","",MAX(Q83,Q84,Q85)/10*$B$14+$B$14)</f>
        <v/>
      </c>
      <c r="S84" s="169"/>
      <c r="T84" s="138"/>
      <c r="U84" s="232" t="str">
        <f>IF(VLOOKUP(CONCATENATE("1",Konfiguration_Configuration!$N$6),Daten!$B$5:$F$99,5,FALSE)=1,"L/g","")</f>
        <v/>
      </c>
      <c r="V84" s="185"/>
      <c r="W84" s="187" t="str">
        <f>IF(V83="","",MAX(V83,V84,V85)/10*$B$14+$B$14)</f>
        <v/>
      </c>
      <c r="X84" s="232" t="str">
        <f>IF(VLOOKUP(CONCATENATE("1",Konfiguration_Configuration!$N$6),Daten!$B$5:$F$99,5,FALSE)=1,"L/g","")</f>
        <v/>
      </c>
      <c r="Y84" s="185"/>
      <c r="Z84" s="187" t="str">
        <f>IF(Y83="","",MAX(Y83,Y84,Y85)/10*$B$14+$B$14)</f>
        <v/>
      </c>
      <c r="AA84" s="232" t="str">
        <f>IF(VLOOKUP(CONCATENATE("1",Konfiguration_Configuration!$N$6),Daten!$B$5:$F$99,5,FALSE)=1,"L/g","")</f>
        <v/>
      </c>
      <c r="AB84" s="185"/>
      <c r="AC84" s="187" t="str">
        <f>IF(AB83="","",MAX(AB83,AB84,AB85)/10*$B$14+$B$14)</f>
        <v/>
      </c>
      <c r="AD84" s="232" t="str">
        <f>IF(VLOOKUP(CONCATENATE("1",Konfiguration_Configuration!$N$6),Daten!$B$5:$F$99,5,FALSE)=1,"L/g","")</f>
        <v/>
      </c>
      <c r="AE84" s="185"/>
      <c r="AF84" s="187" t="str">
        <f>IF(AE83="","",MAX(AE83,AE84,AE85)/10*$B$14+$B$14)</f>
        <v/>
      </c>
      <c r="AG84" s="232" t="str">
        <f>IF(VLOOKUP(CONCATENATE("1",Konfiguration_Configuration!$N$6),Daten!$B$5:$F$99,5,FALSE)=1,"L/g","")</f>
        <v/>
      </c>
      <c r="AH84" s="185"/>
      <c r="AI84" s="187" t="str">
        <f>IF(AH83="","",MAX(AH83,AH84,AH85)/10*$B$14+$B$14)</f>
        <v/>
      </c>
      <c r="AJ84" s="169"/>
      <c r="AK84" s="138"/>
      <c r="AL84" s="232" t="str">
        <f>IF(VLOOKUP(CONCATENATE("1",Konfiguration_Configuration!$N$6),Daten!$B$5:$F$99,5,FALSE)=1,"L/g","")</f>
        <v/>
      </c>
      <c r="AM84" s="185"/>
      <c r="AN84" s="187" t="str">
        <f>IF(AM83="","",MAX(AM83,AM84,AM85)/10*$B$14+$B$14)</f>
        <v/>
      </c>
      <c r="AO84" s="232" t="str">
        <f>IF(VLOOKUP(CONCATENATE("1",Konfiguration_Configuration!$N$6),Daten!$B$5:$F$99,5,FALSE)=1,"L/g","")</f>
        <v/>
      </c>
      <c r="AP84" s="185"/>
      <c r="AQ84" s="187" t="str">
        <f>IF(AP83="","",MAX(AP83,AP84,AP85)/10*$B$14+$B$14)</f>
        <v/>
      </c>
      <c r="AR84" s="232" t="str">
        <f>IF(VLOOKUP(CONCATENATE("1",Konfiguration_Configuration!$N$6),Daten!$B$5:$F$99,5,FALSE)=1,"L/g","")</f>
        <v/>
      </c>
      <c r="AS84" s="185"/>
      <c r="AT84" s="187" t="str">
        <f>IF(AS83="","",MAX(AS83,AS84,AS85)/10*$B$14+$B$14)</f>
        <v/>
      </c>
      <c r="AU84" s="232" t="str">
        <f>IF(VLOOKUP(CONCATENATE("1",Konfiguration_Configuration!$N$6),Daten!$B$5:$F$99,5,FALSE)=1,"L/g","")</f>
        <v/>
      </c>
      <c r="AV84" s="185"/>
      <c r="AW84" s="187" t="str">
        <f>IF(AV83="","",MAX(AV83,AV84,AV85)/10*$B$14+$B$14)</f>
        <v/>
      </c>
      <c r="AX84" s="232" t="str">
        <f>IF(VLOOKUP(CONCATENATE("1",Konfiguration_Configuration!$N$6),Daten!$B$5:$F$99,5,FALSE)=1,"L/g","")</f>
        <v/>
      </c>
      <c r="AY84" s="185"/>
      <c r="AZ84" s="187" t="str">
        <f>IF(AY83="","",MAX(AY83,AY84,AY85)/10*$B$14+$B$14)</f>
        <v/>
      </c>
      <c r="BA84" s="169"/>
      <c r="BB84" s="138"/>
      <c r="BC84" s="232" t="str">
        <f>IF(VLOOKUP(CONCATENATE("1",Konfiguration_Configuration!$N$6),Daten!$B$5:$F$99,5,FALSE)=1,"L/g","")</f>
        <v/>
      </c>
      <c r="BD84" s="185"/>
      <c r="BE84" s="187" t="str">
        <f>IF(BD83="","",MAX(BD83,BD84,BD85)/10*$B$14+$B$14)</f>
        <v/>
      </c>
      <c r="BF84" s="232" t="str">
        <f>IF(VLOOKUP(CONCATENATE("1",Konfiguration_Configuration!$N$6),Daten!$B$5:$F$99,5,FALSE)=1,"L/g","")</f>
        <v/>
      </c>
      <c r="BG84" s="185"/>
      <c r="BH84" s="187" t="str">
        <f>IF(BG83="","",MAX(BG83,BG84,BG85)/10*$B$14+$B$14)</f>
        <v/>
      </c>
      <c r="BI84" s="232" t="str">
        <f>IF(VLOOKUP(CONCATENATE("1",Konfiguration_Configuration!$N$6),Daten!$B$5:$F$99,5,FALSE)=1,"L/g","")</f>
        <v/>
      </c>
      <c r="BJ84" s="185"/>
      <c r="BK84" s="187" t="str">
        <f>IF(BJ83="","",MAX(BJ83,BJ84,BJ85)/10*$B$14+$B$14)</f>
        <v/>
      </c>
      <c r="BL84" s="232" t="str">
        <f>IF(VLOOKUP(CONCATENATE("1",Konfiguration_Configuration!$N$6),Daten!$B$5:$F$99,5,FALSE)=1,"L/g","")</f>
        <v/>
      </c>
      <c r="BM84" s="185"/>
      <c r="BN84" s="187" t="str">
        <f>IF(BM83="","",MAX(BM83,BM84,BM85)/10*$B$14+$B$14)</f>
        <v/>
      </c>
      <c r="BO84" s="232" t="str">
        <f>IF(VLOOKUP(CONCATENATE("1",Konfiguration_Configuration!$N$6),Daten!$B$5:$F$99,5,FALSE)=1,"L/g","")</f>
        <v/>
      </c>
      <c r="BP84" s="185"/>
      <c r="BQ84" s="187" t="str">
        <f>IF(BP83="","",MAX(BP83,BP84,BP85)/10*$B$14+$B$14)</f>
        <v/>
      </c>
    </row>
    <row r="85" spans="1:69" ht="32.1" customHeight="1">
      <c r="A85" s="372"/>
      <c r="B85" s="170"/>
      <c r="C85" s="138" t="s">
        <v>245</v>
      </c>
      <c r="D85" s="135"/>
      <c r="E85" s="186"/>
      <c r="F85" s="189"/>
      <c r="G85" s="135"/>
      <c r="H85" s="186"/>
      <c r="I85" s="189"/>
      <c r="J85" s="135"/>
      <c r="K85" s="186"/>
      <c r="L85" s="189"/>
      <c r="M85" s="135"/>
      <c r="N85" s="186"/>
      <c r="O85" s="189"/>
      <c r="P85" s="135"/>
      <c r="Q85" s="186"/>
      <c r="R85" s="189"/>
      <c r="S85" s="170"/>
      <c r="T85" s="138" t="s">
        <v>245</v>
      </c>
      <c r="U85" s="135"/>
      <c r="V85" s="186"/>
      <c r="W85" s="189"/>
      <c r="X85" s="135"/>
      <c r="Y85" s="186"/>
      <c r="Z85" s="189"/>
      <c r="AA85" s="135"/>
      <c r="AB85" s="186"/>
      <c r="AC85" s="189"/>
      <c r="AD85" s="135"/>
      <c r="AE85" s="186"/>
      <c r="AF85" s="189"/>
      <c r="AG85" s="135"/>
      <c r="AH85" s="186"/>
      <c r="AI85" s="189"/>
      <c r="AJ85" s="170"/>
      <c r="AK85" s="138" t="s">
        <v>245</v>
      </c>
      <c r="AL85" s="135"/>
      <c r="AM85" s="186"/>
      <c r="AN85" s="189"/>
      <c r="AO85" s="135"/>
      <c r="AP85" s="186"/>
      <c r="AQ85" s="189"/>
      <c r="AR85" s="135"/>
      <c r="AS85" s="186"/>
      <c r="AT85" s="189"/>
      <c r="AU85" s="135"/>
      <c r="AV85" s="186"/>
      <c r="AW85" s="189"/>
      <c r="AX85" s="135"/>
      <c r="AY85" s="186"/>
      <c r="AZ85" s="189"/>
      <c r="BA85" s="170"/>
      <c r="BB85" s="138" t="s">
        <v>245</v>
      </c>
      <c r="BC85" s="135"/>
      <c r="BD85" s="186"/>
      <c r="BE85" s="189"/>
      <c r="BF85" s="135"/>
      <c r="BG85" s="186"/>
      <c r="BH85" s="189"/>
      <c r="BI85" s="135"/>
      <c r="BJ85" s="186"/>
      <c r="BK85" s="189"/>
      <c r="BL85" s="135"/>
      <c r="BM85" s="186"/>
      <c r="BN85" s="189"/>
      <c r="BO85" s="135"/>
      <c r="BP85" s="186"/>
      <c r="BQ85" s="189"/>
    </row>
    <row r="86" spans="1:69" ht="32.1" customHeight="1">
      <c r="A86" s="136" t="str">
        <f>CONCATENATE(LEFT(A$13,LEN(A$13)-1)," 2:")</f>
        <v>Element 2:</v>
      </c>
      <c r="B86" s="168">
        <f>VLOOKUP(CONCATENATE("2",Konfiguration_Configuration!$N$6),Daten!$B$5:$E$99,3,FALSE)</f>
        <v>1</v>
      </c>
      <c r="C86" s="137" t="s">
        <v>244</v>
      </c>
      <c r="D86" s="239" t="str">
        <f>IF(VLOOKUP(CONCATENATE("2",Konfiguration_Configuration!$N$6),Daten!$B$5:$F$99,5,FALSE)=1,"R/d","")</f>
        <v/>
      </c>
      <c r="E86" s="186"/>
      <c r="F86" s="190"/>
      <c r="G86" s="239" t="str">
        <f>IF(VLOOKUP(CONCATENATE("2",Konfiguration_Configuration!$N$6),Daten!$B$5:$F$99,5,FALSE)=1,"R/d","")</f>
        <v/>
      </c>
      <c r="H86" s="186"/>
      <c r="I86" s="190"/>
      <c r="J86" s="239" t="str">
        <f>IF(VLOOKUP(CONCATENATE("2",Konfiguration_Configuration!$N$6),Daten!$B$5:$F$99,5,FALSE)=1,"R/d","")</f>
        <v/>
      </c>
      <c r="K86" s="186"/>
      <c r="L86" s="190"/>
      <c r="M86" s="239" t="str">
        <f>IF(VLOOKUP(CONCATENATE("2",Konfiguration_Configuration!$N$6),Daten!$B$5:$F$99,5,FALSE)=1,"R/d","")</f>
        <v/>
      </c>
      <c r="N86" s="186"/>
      <c r="O86" s="190"/>
      <c r="P86" s="239" t="str">
        <f>IF(VLOOKUP(CONCATENATE("2",Konfiguration_Configuration!$N$6),Daten!$B$5:$F$99,5,FALSE)=1,"R/d","")</f>
        <v/>
      </c>
      <c r="Q86" s="186"/>
      <c r="R86" s="190"/>
      <c r="S86" s="168">
        <f>VLOOKUP(CONCATENATE("2",Konfiguration_Configuration!$N$6),Daten!$B$5:$E$99,3,FALSE)</f>
        <v>1</v>
      </c>
      <c r="T86" s="137" t="s">
        <v>244</v>
      </c>
      <c r="U86" s="239" t="str">
        <f>IF(VLOOKUP(CONCATENATE("2",Konfiguration_Configuration!$N$6),Daten!$B$5:$F$99,5,FALSE)=1,"R/d","")</f>
        <v/>
      </c>
      <c r="V86" s="186"/>
      <c r="W86" s="190"/>
      <c r="X86" s="239" t="str">
        <f>IF(VLOOKUP(CONCATENATE("2",Konfiguration_Configuration!$N$6),Daten!$B$5:$F$99,5,FALSE)=1,"R/d","")</f>
        <v/>
      </c>
      <c r="Y86" s="186"/>
      <c r="Z86" s="190"/>
      <c r="AA86" s="239" t="str">
        <f>IF(VLOOKUP(CONCATENATE("2",Konfiguration_Configuration!$N$6),Daten!$B$5:$F$99,5,FALSE)=1,"R/d","")</f>
        <v/>
      </c>
      <c r="AB86" s="186"/>
      <c r="AC86" s="190"/>
      <c r="AD86" s="239" t="str">
        <f>IF(VLOOKUP(CONCATENATE("2",Konfiguration_Configuration!$N$6),Daten!$B$5:$F$99,5,FALSE)=1,"R/d","")</f>
        <v/>
      </c>
      <c r="AE86" s="186"/>
      <c r="AF86" s="190"/>
      <c r="AG86" s="239" t="str">
        <f>IF(VLOOKUP(CONCATENATE("2",Konfiguration_Configuration!$N$6),Daten!$B$5:$F$99,5,FALSE)=1,"R/d","")</f>
        <v/>
      </c>
      <c r="AH86" s="186"/>
      <c r="AI86" s="190"/>
      <c r="AJ86" s="168">
        <f>VLOOKUP(CONCATENATE("2",Konfiguration_Configuration!$N$6),Daten!$B$5:$E$99,3,FALSE)</f>
        <v>1</v>
      </c>
      <c r="AK86" s="137" t="s">
        <v>244</v>
      </c>
      <c r="AL86" s="239" t="str">
        <f>IF(VLOOKUP(CONCATENATE("2",Konfiguration_Configuration!$N$6),Daten!$B$5:$F$99,5,FALSE)=1,"R/d","")</f>
        <v/>
      </c>
      <c r="AM86" s="186"/>
      <c r="AN86" s="190"/>
      <c r="AO86" s="239" t="str">
        <f>IF(VLOOKUP(CONCATENATE("2",Konfiguration_Configuration!$N$6),Daten!$B$5:$F$99,5,FALSE)=1,"R/d","")</f>
        <v/>
      </c>
      <c r="AP86" s="186"/>
      <c r="AQ86" s="190"/>
      <c r="AR86" s="239" t="str">
        <f>IF(VLOOKUP(CONCATENATE("2",Konfiguration_Configuration!$N$6),Daten!$B$5:$F$99,5,FALSE)=1,"R/d","")</f>
        <v/>
      </c>
      <c r="AS86" s="186"/>
      <c r="AT86" s="190"/>
      <c r="AU86" s="239" t="str">
        <f>IF(VLOOKUP(CONCATENATE("2",Konfiguration_Configuration!$N$6),Daten!$B$5:$F$99,5,FALSE)=1,"R/d","")</f>
        <v/>
      </c>
      <c r="AV86" s="186"/>
      <c r="AW86" s="190"/>
      <c r="AX86" s="239" t="str">
        <f>IF(VLOOKUP(CONCATENATE("2",Konfiguration_Configuration!$N$6),Daten!$B$5:$F$99,5,FALSE)=1,"R/d","")</f>
        <v/>
      </c>
      <c r="AY86" s="186"/>
      <c r="AZ86" s="190"/>
      <c r="BA86" s="168">
        <f>VLOOKUP(CONCATENATE("2",Konfiguration_Configuration!$N$6),Daten!$B$5:$E$99,3,FALSE)</f>
        <v>1</v>
      </c>
      <c r="BB86" s="137" t="s">
        <v>244</v>
      </c>
      <c r="BC86" s="239" t="str">
        <f>IF(VLOOKUP(CONCATENATE("2",Konfiguration_Configuration!$N$6),Daten!$B$5:$F$99,5,FALSE)=1,"R/d","")</f>
        <v/>
      </c>
      <c r="BD86" s="186"/>
      <c r="BE86" s="190"/>
      <c r="BF86" s="239" t="str">
        <f>IF(VLOOKUP(CONCATENATE("2",Konfiguration_Configuration!$N$6),Daten!$B$5:$F$99,5,FALSE)=1,"R/d","")</f>
        <v/>
      </c>
      <c r="BG86" s="186"/>
      <c r="BH86" s="190"/>
      <c r="BI86" s="239" t="str">
        <f>IF(VLOOKUP(CONCATENATE("2",Konfiguration_Configuration!$N$6),Daten!$B$5:$F$99,5,FALSE)=1,"R/d","")</f>
        <v/>
      </c>
      <c r="BJ86" s="186"/>
      <c r="BK86" s="190"/>
      <c r="BL86" s="239" t="str">
        <f>IF(VLOOKUP(CONCATENATE("2",Konfiguration_Configuration!$N$6),Daten!$B$5:$F$99,5,FALSE)=1,"R/d","")</f>
        <v/>
      </c>
      <c r="BM86" s="186"/>
      <c r="BN86" s="190"/>
      <c r="BO86" s="239" t="str">
        <f>IF(VLOOKUP(CONCATENATE("2",Konfiguration_Configuration!$N$6),Daten!$B$5:$F$99,5,FALSE)=1,"R/d","")</f>
        <v/>
      </c>
      <c r="BP86" s="186"/>
      <c r="BQ86" s="190"/>
    </row>
    <row r="87" spans="1:69" ht="32.1" customHeight="1">
      <c r="A87" s="371" t="str">
        <f>VLOOKUP(CONCATENATE("2",Konfiguration_Configuration!$N$6),Daten!$B$5:$E$99,2,FALSE)</f>
        <v>r Übersetzen</v>
      </c>
      <c r="B87" s="169"/>
      <c r="C87" s="137"/>
      <c r="D87" s="232" t="str">
        <f>IF(VLOOKUP(CONCATENATE("2",Konfiguration_Configuration!$N$6),Daten!$B$5:$F$99,5,FALSE)=1,"L/g","")</f>
        <v/>
      </c>
      <c r="E87" s="186"/>
      <c r="F87" s="187" t="str">
        <f>IF(E86="","",MAX(E86,E87,E88)/10*$B$17+$B$17)</f>
        <v/>
      </c>
      <c r="G87" s="232" t="str">
        <f>IF(VLOOKUP(CONCATENATE("2",Konfiguration_Configuration!$N$6),Daten!$B$5:$F$99,5,FALSE)=1,"L/g","")</f>
        <v/>
      </c>
      <c r="H87" s="186"/>
      <c r="I87" s="187" t="str">
        <f>IF(H86="","",MAX(H86,H87,H88)/10*$B$17+$B$17)</f>
        <v/>
      </c>
      <c r="J87" s="232" t="str">
        <f>IF(VLOOKUP(CONCATENATE("2",Konfiguration_Configuration!$N$6),Daten!$B$5:$F$99,5,FALSE)=1,"L/g","")</f>
        <v/>
      </c>
      <c r="K87" s="186"/>
      <c r="L87" s="187" t="str">
        <f>IF(K86="","",MAX(K86,K87,K88)/10*$B$17+$B$17)</f>
        <v/>
      </c>
      <c r="M87" s="232" t="str">
        <f>IF(VLOOKUP(CONCATENATE("2",Konfiguration_Configuration!$N$6),Daten!$B$5:$F$99,5,FALSE)=1,"L/g","")</f>
        <v/>
      </c>
      <c r="N87" s="186"/>
      <c r="O87" s="187" t="str">
        <f>IF(N86="","",MAX(N86,N87,N88)/10*$B$17+$B$17)</f>
        <v/>
      </c>
      <c r="P87" s="232" t="str">
        <f>IF(VLOOKUP(CONCATENATE("2",Konfiguration_Configuration!$N$6),Daten!$B$5:$F$99,5,FALSE)=1,"L/g","")</f>
        <v/>
      </c>
      <c r="Q87" s="186"/>
      <c r="R87" s="187" t="str">
        <f>IF(Q86="","",MAX(Q86,Q87,Q88)/10*$B$17+$B$17)</f>
        <v/>
      </c>
      <c r="S87" s="169"/>
      <c r="T87" s="137"/>
      <c r="U87" s="232" t="str">
        <f>IF(VLOOKUP(CONCATENATE("2",Konfiguration_Configuration!$N$6),Daten!$B$5:$F$99,5,FALSE)=1,"L/g","")</f>
        <v/>
      </c>
      <c r="V87" s="186"/>
      <c r="W87" s="187" t="str">
        <f>IF(V86="","",MAX(V86,V87,V88)/10*$B$17+$B$17)</f>
        <v/>
      </c>
      <c r="X87" s="232" t="str">
        <f>IF(VLOOKUP(CONCATENATE("2",Konfiguration_Configuration!$N$6),Daten!$B$5:$F$99,5,FALSE)=1,"L/g","")</f>
        <v/>
      </c>
      <c r="Y87" s="186"/>
      <c r="Z87" s="187" t="str">
        <f>IF(Y86="","",MAX(Y86,Y87,Y88)/10*$B$17+$B$17)</f>
        <v/>
      </c>
      <c r="AA87" s="232" t="str">
        <f>IF(VLOOKUP(CONCATENATE("2",Konfiguration_Configuration!$N$6),Daten!$B$5:$F$99,5,FALSE)=1,"L/g","")</f>
        <v/>
      </c>
      <c r="AB87" s="186"/>
      <c r="AC87" s="187" t="str">
        <f>IF(AB86="","",MAX(AB86,AB87,AB88)/10*$B$17+$B$17)</f>
        <v/>
      </c>
      <c r="AD87" s="232" t="str">
        <f>IF(VLOOKUP(CONCATENATE("2",Konfiguration_Configuration!$N$6),Daten!$B$5:$F$99,5,FALSE)=1,"L/g","")</f>
        <v/>
      </c>
      <c r="AE87" s="186"/>
      <c r="AF87" s="187" t="str">
        <f>IF(AE86="","",MAX(AE86,AE87,AE88)/10*$B$17+$B$17)</f>
        <v/>
      </c>
      <c r="AG87" s="232" t="str">
        <f>IF(VLOOKUP(CONCATENATE("2",Konfiguration_Configuration!$N$6),Daten!$B$5:$F$99,5,FALSE)=1,"L/g","")</f>
        <v/>
      </c>
      <c r="AH87" s="186"/>
      <c r="AI87" s="187" t="str">
        <f>IF(AH86="","",MAX(AH86,AH87,AH88)/10*$B$17+$B$17)</f>
        <v/>
      </c>
      <c r="AJ87" s="169"/>
      <c r="AK87" s="137"/>
      <c r="AL87" s="232" t="str">
        <f>IF(VLOOKUP(CONCATENATE("2",Konfiguration_Configuration!$N$6),Daten!$B$5:$F$99,5,FALSE)=1,"L/g","")</f>
        <v/>
      </c>
      <c r="AM87" s="186"/>
      <c r="AN87" s="187" t="str">
        <f>IF(AM86="","",MAX(AM86,AM87,AM88)/10*$B$17+$B$17)</f>
        <v/>
      </c>
      <c r="AO87" s="232" t="str">
        <f>IF(VLOOKUP(CONCATENATE("2",Konfiguration_Configuration!$N$6),Daten!$B$5:$F$99,5,FALSE)=1,"L/g","")</f>
        <v/>
      </c>
      <c r="AP87" s="186"/>
      <c r="AQ87" s="187" t="str">
        <f>IF(AP86="","",MAX(AP86,AP87,AP88)/10*$B$17+$B$17)</f>
        <v/>
      </c>
      <c r="AR87" s="232" t="str">
        <f>IF(VLOOKUP(CONCATENATE("2",Konfiguration_Configuration!$N$6),Daten!$B$5:$F$99,5,FALSE)=1,"L/g","")</f>
        <v/>
      </c>
      <c r="AS87" s="186"/>
      <c r="AT87" s="187" t="str">
        <f>IF(AS86="","",MAX(AS86,AS87,AS88)/10*$B$17+$B$17)</f>
        <v/>
      </c>
      <c r="AU87" s="232" t="str">
        <f>IF(VLOOKUP(CONCATENATE("2",Konfiguration_Configuration!$N$6),Daten!$B$5:$F$99,5,FALSE)=1,"L/g","")</f>
        <v/>
      </c>
      <c r="AV87" s="186"/>
      <c r="AW87" s="187" t="str">
        <f>IF(AV86="","",MAX(AV86,AV87,AV88)/10*$B$17+$B$17)</f>
        <v/>
      </c>
      <c r="AX87" s="232" t="str">
        <f>IF(VLOOKUP(CONCATENATE("2",Konfiguration_Configuration!$N$6),Daten!$B$5:$F$99,5,FALSE)=1,"L/g","")</f>
        <v/>
      </c>
      <c r="AY87" s="186"/>
      <c r="AZ87" s="187" t="str">
        <f>IF(AY86="","",MAX(AY86,AY87,AY88)/10*$B$17+$B$17)</f>
        <v/>
      </c>
      <c r="BA87" s="169"/>
      <c r="BB87" s="137"/>
      <c r="BC87" s="232" t="str">
        <f>IF(VLOOKUP(CONCATENATE("2",Konfiguration_Configuration!$N$6),Daten!$B$5:$F$99,5,FALSE)=1,"L/g","")</f>
        <v/>
      </c>
      <c r="BD87" s="186"/>
      <c r="BE87" s="187" t="str">
        <f>IF(BD86="","",MAX(BD86,BD87,BD88)/10*$B$17+$B$17)</f>
        <v/>
      </c>
      <c r="BF87" s="232" t="str">
        <f>IF(VLOOKUP(CONCATENATE("2",Konfiguration_Configuration!$N$6),Daten!$B$5:$F$99,5,FALSE)=1,"L/g","")</f>
        <v/>
      </c>
      <c r="BG87" s="186"/>
      <c r="BH87" s="187" t="str">
        <f>IF(BG86="","",MAX(BG86,BG87,BG88)/10*$B$17+$B$17)</f>
        <v/>
      </c>
      <c r="BI87" s="232" t="str">
        <f>IF(VLOOKUP(CONCATENATE("2",Konfiguration_Configuration!$N$6),Daten!$B$5:$F$99,5,FALSE)=1,"L/g","")</f>
        <v/>
      </c>
      <c r="BJ87" s="186"/>
      <c r="BK87" s="187" t="str">
        <f>IF(BJ86="","",MAX(BJ86,BJ87,BJ88)/10*$B$17+$B$17)</f>
        <v/>
      </c>
      <c r="BL87" s="232" t="str">
        <f>IF(VLOOKUP(CONCATENATE("2",Konfiguration_Configuration!$N$6),Daten!$B$5:$F$99,5,FALSE)=1,"L/g","")</f>
        <v/>
      </c>
      <c r="BM87" s="186"/>
      <c r="BN87" s="187" t="str">
        <f>IF(BM86="","",MAX(BM86,BM87,BM88)/10*$B$17+$B$17)</f>
        <v/>
      </c>
      <c r="BO87" s="232" t="str">
        <f>IF(VLOOKUP(CONCATENATE("2",Konfiguration_Configuration!$N$6),Daten!$B$5:$F$99,5,FALSE)=1,"L/g","")</f>
        <v/>
      </c>
      <c r="BP87" s="186"/>
      <c r="BQ87" s="187" t="str">
        <f>IF(BP86="","",MAX(BP86,BP87,BP88)/10*$B$17+$B$17)</f>
        <v/>
      </c>
    </row>
    <row r="88" spans="1:69" ht="32.1" customHeight="1">
      <c r="A88" s="372"/>
      <c r="B88" s="170"/>
      <c r="C88" s="137" t="s">
        <v>245</v>
      </c>
      <c r="D88" s="135"/>
      <c r="E88" s="186"/>
      <c r="F88" s="191"/>
      <c r="G88" s="135"/>
      <c r="H88" s="186"/>
      <c r="I88" s="191"/>
      <c r="J88" s="135"/>
      <c r="K88" s="186"/>
      <c r="L88" s="191"/>
      <c r="M88" s="135"/>
      <c r="N88" s="186"/>
      <c r="O88" s="191"/>
      <c r="P88" s="135"/>
      <c r="Q88" s="186"/>
      <c r="R88" s="191"/>
      <c r="S88" s="170"/>
      <c r="T88" s="137" t="s">
        <v>245</v>
      </c>
      <c r="U88" s="135"/>
      <c r="V88" s="186"/>
      <c r="W88" s="191"/>
      <c r="X88" s="135"/>
      <c r="Y88" s="186"/>
      <c r="Z88" s="191"/>
      <c r="AA88" s="135"/>
      <c r="AB88" s="186"/>
      <c r="AC88" s="191"/>
      <c r="AD88" s="135"/>
      <c r="AE88" s="186"/>
      <c r="AF88" s="191"/>
      <c r="AG88" s="135"/>
      <c r="AH88" s="186"/>
      <c r="AI88" s="191"/>
      <c r="AJ88" s="170"/>
      <c r="AK88" s="137" t="s">
        <v>245</v>
      </c>
      <c r="AL88" s="135"/>
      <c r="AM88" s="186"/>
      <c r="AN88" s="191"/>
      <c r="AO88" s="135"/>
      <c r="AP88" s="186"/>
      <c r="AQ88" s="191"/>
      <c r="AR88" s="135"/>
      <c r="AS88" s="186"/>
      <c r="AT88" s="191"/>
      <c r="AU88" s="135"/>
      <c r="AV88" s="186"/>
      <c r="AW88" s="191"/>
      <c r="AX88" s="135"/>
      <c r="AY88" s="186"/>
      <c r="AZ88" s="191"/>
      <c r="BA88" s="170"/>
      <c r="BB88" s="137" t="s">
        <v>245</v>
      </c>
      <c r="BC88" s="135"/>
      <c r="BD88" s="186"/>
      <c r="BE88" s="191"/>
      <c r="BF88" s="135"/>
      <c r="BG88" s="186"/>
      <c r="BH88" s="191"/>
      <c r="BI88" s="135"/>
      <c r="BJ88" s="186"/>
      <c r="BK88" s="191"/>
      <c r="BL88" s="135"/>
      <c r="BM88" s="186"/>
      <c r="BN88" s="191"/>
      <c r="BO88" s="135"/>
      <c r="BP88" s="186"/>
      <c r="BQ88" s="191"/>
    </row>
    <row r="89" spans="1:69" ht="32.1" customHeight="1">
      <c r="A89" s="136" t="str">
        <f>CONCATENATE(LEFT(A$13,LEN(A$13)-1)," 3:")</f>
        <v>Element 3:</v>
      </c>
      <c r="B89" s="168">
        <f>VLOOKUP(CONCATENATE("3",Konfiguration_Configuration!$N$6),Daten!$B$5:$E$99,3,FALSE)</f>
        <v>1</v>
      </c>
      <c r="C89" s="137" t="s">
        <v>244</v>
      </c>
      <c r="D89" s="239" t="str">
        <f>IF(VLOOKUP(CONCATENATE("3",Konfiguration_Configuration!$N$6),Daten!$B$5:$F$99,5,FALSE)=1,"R/d","")</f>
        <v>R/d</v>
      </c>
      <c r="E89" s="186"/>
      <c r="F89" s="190"/>
      <c r="G89" s="239" t="str">
        <f>IF(VLOOKUP(CONCATENATE("3",Konfiguration_Configuration!$N$6),Daten!$B$5:$F$99,5,FALSE)=1,"R/d","")</f>
        <v>R/d</v>
      </c>
      <c r="H89" s="186"/>
      <c r="I89" s="190"/>
      <c r="J89" s="239" t="str">
        <f>IF(VLOOKUP(CONCATENATE("3",Konfiguration_Configuration!$N$6),Daten!$B$5:$F$99,5,FALSE)=1,"R/d","")</f>
        <v>R/d</v>
      </c>
      <c r="K89" s="186"/>
      <c r="L89" s="190"/>
      <c r="M89" s="239" t="str">
        <f>IF(VLOOKUP(CONCATENATE("3",Konfiguration_Configuration!$N$6),Daten!$B$5:$F$99,5,FALSE)=1,"R/d","")</f>
        <v>R/d</v>
      </c>
      <c r="N89" s="186"/>
      <c r="O89" s="190"/>
      <c r="P89" s="239" t="str">
        <f>IF(VLOOKUP(CONCATENATE("3",Konfiguration_Configuration!$N$6),Daten!$B$5:$F$99,5,FALSE)=1,"R/d","")</f>
        <v>R/d</v>
      </c>
      <c r="Q89" s="186"/>
      <c r="R89" s="190"/>
      <c r="S89" s="168">
        <f>VLOOKUP(CONCATENATE("3",Konfiguration_Configuration!$N$6),Daten!$B$5:$E$99,3,FALSE)</f>
        <v>1</v>
      </c>
      <c r="T89" s="137" t="s">
        <v>244</v>
      </c>
      <c r="U89" s="239" t="str">
        <f>IF(VLOOKUP(CONCATENATE("3",Konfiguration_Configuration!$N$6),Daten!$B$5:$F$99,5,FALSE)=1,"R/d","")</f>
        <v>R/d</v>
      </c>
      <c r="V89" s="186"/>
      <c r="W89" s="190"/>
      <c r="X89" s="239" t="str">
        <f>IF(VLOOKUP(CONCATENATE("3",Konfiguration_Configuration!$N$6),Daten!$B$5:$F$99,5,FALSE)=1,"R/d","")</f>
        <v>R/d</v>
      </c>
      <c r="Y89" s="186"/>
      <c r="Z89" s="190"/>
      <c r="AA89" s="239" t="str">
        <f>IF(VLOOKUP(CONCATENATE("3",Konfiguration_Configuration!$N$6),Daten!$B$5:$F$99,5,FALSE)=1,"R/d","")</f>
        <v>R/d</v>
      </c>
      <c r="AB89" s="186"/>
      <c r="AC89" s="190"/>
      <c r="AD89" s="239" t="str">
        <f>IF(VLOOKUP(CONCATENATE("3",Konfiguration_Configuration!$N$6),Daten!$B$5:$F$99,5,FALSE)=1,"R/d","")</f>
        <v>R/d</v>
      </c>
      <c r="AE89" s="186"/>
      <c r="AF89" s="190"/>
      <c r="AG89" s="239" t="str">
        <f>IF(VLOOKUP(CONCATENATE("3",Konfiguration_Configuration!$N$6),Daten!$B$5:$F$99,5,FALSE)=1,"R/d","")</f>
        <v>R/d</v>
      </c>
      <c r="AH89" s="186"/>
      <c r="AI89" s="190"/>
      <c r="AJ89" s="168">
        <f>VLOOKUP(CONCATENATE("3",Konfiguration_Configuration!$N$6),Daten!$B$5:$E$99,3,FALSE)</f>
        <v>1</v>
      </c>
      <c r="AK89" s="137" t="s">
        <v>244</v>
      </c>
      <c r="AL89" s="239" t="str">
        <f>IF(VLOOKUP(CONCATENATE("3",Konfiguration_Configuration!$N$6),Daten!$B$5:$F$99,5,FALSE)=1,"R/d","")</f>
        <v>R/d</v>
      </c>
      <c r="AM89" s="186"/>
      <c r="AN89" s="190"/>
      <c r="AO89" s="239" t="str">
        <f>IF(VLOOKUP(CONCATENATE("3",Konfiguration_Configuration!$N$6),Daten!$B$5:$F$99,5,FALSE)=1,"R/d","")</f>
        <v>R/d</v>
      </c>
      <c r="AP89" s="186"/>
      <c r="AQ89" s="190"/>
      <c r="AR89" s="239" t="str">
        <f>IF(VLOOKUP(CONCATENATE("3",Konfiguration_Configuration!$N$6),Daten!$B$5:$F$99,5,FALSE)=1,"R/d","")</f>
        <v>R/d</v>
      </c>
      <c r="AS89" s="186"/>
      <c r="AT89" s="190"/>
      <c r="AU89" s="239" t="str">
        <f>IF(VLOOKUP(CONCATENATE("3",Konfiguration_Configuration!$N$6),Daten!$B$5:$F$99,5,FALSE)=1,"R/d","")</f>
        <v>R/d</v>
      </c>
      <c r="AV89" s="186"/>
      <c r="AW89" s="190"/>
      <c r="AX89" s="239" t="str">
        <f>IF(VLOOKUP(CONCATENATE("3",Konfiguration_Configuration!$N$6),Daten!$B$5:$F$99,5,FALSE)=1,"R/d","")</f>
        <v>R/d</v>
      </c>
      <c r="AY89" s="186"/>
      <c r="AZ89" s="190"/>
      <c r="BA89" s="168">
        <f>VLOOKUP(CONCATENATE("3",Konfiguration_Configuration!$N$6),Daten!$B$5:$E$99,3,FALSE)</f>
        <v>1</v>
      </c>
      <c r="BB89" s="137" t="s">
        <v>244</v>
      </c>
      <c r="BC89" s="239" t="str">
        <f>IF(VLOOKUP(CONCATENATE("3",Konfiguration_Configuration!$N$6),Daten!$B$5:$F$99,5,FALSE)=1,"R/d","")</f>
        <v>R/d</v>
      </c>
      <c r="BD89" s="186"/>
      <c r="BE89" s="190"/>
      <c r="BF89" s="239" t="str">
        <f>IF(VLOOKUP(CONCATENATE("3",Konfiguration_Configuration!$N$6),Daten!$B$5:$F$99,5,FALSE)=1,"R/d","")</f>
        <v>R/d</v>
      </c>
      <c r="BG89" s="186"/>
      <c r="BH89" s="190"/>
      <c r="BI89" s="239" t="str">
        <f>IF(VLOOKUP(CONCATENATE("3",Konfiguration_Configuration!$N$6),Daten!$B$5:$F$99,5,FALSE)=1,"R/d","")</f>
        <v>R/d</v>
      </c>
      <c r="BJ89" s="186"/>
      <c r="BK89" s="190"/>
      <c r="BL89" s="239" t="str">
        <f>IF(VLOOKUP(CONCATENATE("3",Konfiguration_Configuration!$N$6),Daten!$B$5:$F$99,5,FALSE)=1,"R/d","")</f>
        <v>R/d</v>
      </c>
      <c r="BM89" s="186"/>
      <c r="BN89" s="190"/>
      <c r="BO89" s="239" t="str">
        <f>IF(VLOOKUP(CONCATENATE("3",Konfiguration_Configuration!$N$6),Daten!$B$5:$F$99,5,FALSE)=1,"R/d","")</f>
        <v>R/d</v>
      </c>
      <c r="BP89" s="186"/>
      <c r="BQ89" s="190"/>
    </row>
    <row r="90" spans="1:69" ht="32.1" customHeight="1">
      <c r="A90" s="371" t="str">
        <f>VLOOKUP(CONCATENATE("3",Konfiguration_Configuration!$N$6),Daten!$B$5:$E$99,2,FALSE)</f>
        <v>va Dr-re Dr</v>
      </c>
      <c r="B90" s="169"/>
      <c r="C90" s="137"/>
      <c r="D90" s="232" t="str">
        <f>IF(VLOOKUP(CONCATENATE("3",Konfiguration_Configuration!$N$6),Daten!$B$5:$F$99,5,FALSE)=1,"L/g","")</f>
        <v>L/g</v>
      </c>
      <c r="E90" s="185"/>
      <c r="F90" s="187" t="str">
        <f>IF(E89="","",MAX(E89,E90,E91)/10*$B$20+$B$20)</f>
        <v/>
      </c>
      <c r="G90" s="232" t="str">
        <f>IF(VLOOKUP(CONCATENATE("3",Konfiguration_Configuration!$N$6),Daten!$B$5:$F$99,5,FALSE)=1,"L/g","")</f>
        <v>L/g</v>
      </c>
      <c r="H90" s="185"/>
      <c r="I90" s="187" t="str">
        <f>IF(H89="","",MAX(H89,H90,H91)/10*$B$20+$B$20)</f>
        <v/>
      </c>
      <c r="J90" s="232" t="str">
        <f>IF(VLOOKUP(CONCATENATE("3",Konfiguration_Configuration!$N$6),Daten!$B$5:$F$99,5,FALSE)=1,"L/g","")</f>
        <v>L/g</v>
      </c>
      <c r="K90" s="185"/>
      <c r="L90" s="187" t="str">
        <f>IF(K89="","",MAX(K89,K90,K91)/10*$B$20+$B$20)</f>
        <v/>
      </c>
      <c r="M90" s="232" t="str">
        <f>IF(VLOOKUP(CONCATENATE("3",Konfiguration_Configuration!$N$6),Daten!$B$5:$F$99,5,FALSE)=1,"L/g","")</f>
        <v>L/g</v>
      </c>
      <c r="N90" s="185"/>
      <c r="O90" s="187" t="str">
        <f>IF(N89="","",MAX(N89,N90,N91)/10*$B$20+$B$20)</f>
        <v/>
      </c>
      <c r="P90" s="232" t="str">
        <f>IF(VLOOKUP(CONCATENATE("3",Konfiguration_Configuration!$N$6),Daten!$B$5:$F$99,5,FALSE)=1,"L/g","")</f>
        <v>L/g</v>
      </c>
      <c r="Q90" s="185"/>
      <c r="R90" s="187" t="str">
        <f>IF(Q89="","",MAX(Q89,Q90,Q91)/10*$B$20+$B$20)</f>
        <v/>
      </c>
      <c r="S90" s="169"/>
      <c r="T90" s="137"/>
      <c r="U90" s="232" t="str">
        <f>IF(VLOOKUP(CONCATENATE("3",Konfiguration_Configuration!$N$6),Daten!$B$5:$F$99,5,FALSE)=1,"L/g","")</f>
        <v>L/g</v>
      </c>
      <c r="V90" s="185"/>
      <c r="W90" s="187" t="str">
        <f>IF(V89="","",MAX(V89,V90,V91)/10*$B$20+$B$20)</f>
        <v/>
      </c>
      <c r="X90" s="232" t="str">
        <f>IF(VLOOKUP(CONCATENATE("3",Konfiguration_Configuration!$N$6),Daten!$B$5:$F$99,5,FALSE)=1,"L/g","")</f>
        <v>L/g</v>
      </c>
      <c r="Y90" s="185"/>
      <c r="Z90" s="187" t="str">
        <f>IF(Y89="","",MAX(Y89,Y90,Y91)/10*$B$20+$B$20)</f>
        <v/>
      </c>
      <c r="AA90" s="232" t="str">
        <f>IF(VLOOKUP(CONCATENATE("3",Konfiguration_Configuration!$N$6),Daten!$B$5:$F$99,5,FALSE)=1,"L/g","")</f>
        <v>L/g</v>
      </c>
      <c r="AB90" s="185"/>
      <c r="AC90" s="187" t="str">
        <f>IF(AB89="","",MAX(AB89,AB90,AB91)/10*$B$20+$B$20)</f>
        <v/>
      </c>
      <c r="AD90" s="232" t="str">
        <f>IF(VLOOKUP(CONCATENATE("3",Konfiguration_Configuration!$N$6),Daten!$B$5:$F$99,5,FALSE)=1,"L/g","")</f>
        <v>L/g</v>
      </c>
      <c r="AE90" s="185"/>
      <c r="AF90" s="187" t="str">
        <f>IF(AE89="","",MAX(AE89,AE90,AE91)/10*$B$20+$B$20)</f>
        <v/>
      </c>
      <c r="AG90" s="232" t="str">
        <f>IF(VLOOKUP(CONCATENATE("3",Konfiguration_Configuration!$N$6),Daten!$B$5:$F$99,5,FALSE)=1,"L/g","")</f>
        <v>L/g</v>
      </c>
      <c r="AH90" s="185"/>
      <c r="AI90" s="187" t="str">
        <f>IF(AH89="","",MAX(AH89,AH90,AH91)/10*$B$20+$B$20)</f>
        <v/>
      </c>
      <c r="AJ90" s="169"/>
      <c r="AK90" s="137"/>
      <c r="AL90" s="232" t="str">
        <f>IF(VLOOKUP(CONCATENATE("3",Konfiguration_Configuration!$N$6),Daten!$B$5:$F$99,5,FALSE)=1,"L/g","")</f>
        <v>L/g</v>
      </c>
      <c r="AM90" s="185"/>
      <c r="AN90" s="187" t="str">
        <f>IF(AM89="","",MAX(AM89,AM90,AM91)/10*$B$20+$B$20)</f>
        <v/>
      </c>
      <c r="AO90" s="232" t="str">
        <f>IF(VLOOKUP(CONCATENATE("3",Konfiguration_Configuration!$N$6),Daten!$B$5:$F$99,5,FALSE)=1,"L/g","")</f>
        <v>L/g</v>
      </c>
      <c r="AP90" s="185"/>
      <c r="AQ90" s="187" t="str">
        <f>IF(AP89="","",MAX(AP89,AP90,AP91)/10*$B$20+$B$20)</f>
        <v/>
      </c>
      <c r="AR90" s="232" t="str">
        <f>IF(VLOOKUP(CONCATENATE("3",Konfiguration_Configuration!$N$6),Daten!$B$5:$F$99,5,FALSE)=1,"L/g","")</f>
        <v>L/g</v>
      </c>
      <c r="AS90" s="185"/>
      <c r="AT90" s="187" t="str">
        <f>IF(AS89="","",MAX(AS89,AS90,AS91)/10*$B$20+$B$20)</f>
        <v/>
      </c>
      <c r="AU90" s="232" t="str">
        <f>IF(VLOOKUP(CONCATENATE("3",Konfiguration_Configuration!$N$6),Daten!$B$5:$F$99,5,FALSE)=1,"L/g","")</f>
        <v>L/g</v>
      </c>
      <c r="AV90" s="185"/>
      <c r="AW90" s="187" t="str">
        <f>IF(AV89="","",MAX(AV89,AV90,AV91)/10*$B$20+$B$20)</f>
        <v/>
      </c>
      <c r="AX90" s="232" t="str">
        <f>IF(VLOOKUP(CONCATENATE("3",Konfiguration_Configuration!$N$6),Daten!$B$5:$F$99,5,FALSE)=1,"L/g","")</f>
        <v>L/g</v>
      </c>
      <c r="AY90" s="185"/>
      <c r="AZ90" s="187" t="str">
        <f>IF(AY89="","",MAX(AY89,AY90,AY91)/10*$B$20+$B$20)</f>
        <v/>
      </c>
      <c r="BA90" s="169"/>
      <c r="BB90" s="137"/>
      <c r="BC90" s="232" t="str">
        <f>IF(VLOOKUP(CONCATENATE("3",Konfiguration_Configuration!$N$6),Daten!$B$5:$F$99,5,FALSE)=1,"L/g","")</f>
        <v>L/g</v>
      </c>
      <c r="BD90" s="185"/>
      <c r="BE90" s="187" t="str">
        <f>IF(BD89="","",MAX(BD89,BD90,BD91)/10*$B$20+$B$20)</f>
        <v/>
      </c>
      <c r="BF90" s="232" t="str">
        <f>IF(VLOOKUP(CONCATENATE("3",Konfiguration_Configuration!$N$6),Daten!$B$5:$F$99,5,FALSE)=1,"L/g","")</f>
        <v>L/g</v>
      </c>
      <c r="BG90" s="185"/>
      <c r="BH90" s="187" t="str">
        <f>IF(BG89="","",MAX(BG89,BG90,BG91)/10*$B$20+$B$20)</f>
        <v/>
      </c>
      <c r="BI90" s="232" t="str">
        <f>IF(VLOOKUP(CONCATENATE("3",Konfiguration_Configuration!$N$6),Daten!$B$5:$F$99,5,FALSE)=1,"L/g","")</f>
        <v>L/g</v>
      </c>
      <c r="BJ90" s="185"/>
      <c r="BK90" s="187" t="str">
        <f>IF(BJ89="","",MAX(BJ89,BJ90,BJ91)/10*$B$20+$B$20)</f>
        <v/>
      </c>
      <c r="BL90" s="232" t="str">
        <f>IF(VLOOKUP(CONCATENATE("3",Konfiguration_Configuration!$N$6),Daten!$B$5:$F$99,5,FALSE)=1,"L/g","")</f>
        <v>L/g</v>
      </c>
      <c r="BM90" s="185"/>
      <c r="BN90" s="187" t="str">
        <f>IF(BM89="","",MAX(BM89,BM90,BM91)/10*$B$20+$B$20)</f>
        <v/>
      </c>
      <c r="BO90" s="232" t="str">
        <f>IF(VLOOKUP(CONCATENATE("3",Konfiguration_Configuration!$N$6),Daten!$B$5:$F$99,5,FALSE)=1,"L/g","")</f>
        <v>L/g</v>
      </c>
      <c r="BP90" s="185"/>
      <c r="BQ90" s="187" t="str">
        <f>IF(BP89="","",MAX(BP89,BP90,BP91)/10*$B$20+$B$20)</f>
        <v/>
      </c>
    </row>
    <row r="91" spans="1:69" ht="32.1" customHeight="1">
      <c r="A91" s="372"/>
      <c r="B91" s="170"/>
      <c r="C91" s="137" t="s">
        <v>245</v>
      </c>
      <c r="D91" s="139"/>
      <c r="E91" s="185"/>
      <c r="F91" s="191"/>
      <c r="G91" s="139"/>
      <c r="H91" s="185"/>
      <c r="I91" s="191"/>
      <c r="J91" s="139"/>
      <c r="K91" s="185"/>
      <c r="L91" s="191"/>
      <c r="M91" s="139"/>
      <c r="N91" s="185"/>
      <c r="O91" s="191"/>
      <c r="P91" s="139"/>
      <c r="Q91" s="185"/>
      <c r="R91" s="191"/>
      <c r="S91" s="170"/>
      <c r="T91" s="137" t="s">
        <v>245</v>
      </c>
      <c r="U91" s="139"/>
      <c r="V91" s="185"/>
      <c r="W91" s="191"/>
      <c r="X91" s="139"/>
      <c r="Y91" s="185"/>
      <c r="Z91" s="191"/>
      <c r="AA91" s="139"/>
      <c r="AB91" s="185"/>
      <c r="AC91" s="191"/>
      <c r="AD91" s="139"/>
      <c r="AE91" s="185"/>
      <c r="AF91" s="191"/>
      <c r="AG91" s="139"/>
      <c r="AH91" s="185"/>
      <c r="AI91" s="191"/>
      <c r="AJ91" s="170"/>
      <c r="AK91" s="137" t="s">
        <v>245</v>
      </c>
      <c r="AL91" s="139"/>
      <c r="AM91" s="185"/>
      <c r="AN91" s="191"/>
      <c r="AO91" s="139"/>
      <c r="AP91" s="185"/>
      <c r="AQ91" s="191"/>
      <c r="AR91" s="139"/>
      <c r="AS91" s="185"/>
      <c r="AT91" s="191"/>
      <c r="AU91" s="139"/>
      <c r="AV91" s="185"/>
      <c r="AW91" s="191"/>
      <c r="AX91" s="139"/>
      <c r="AY91" s="185"/>
      <c r="AZ91" s="191"/>
      <c r="BA91" s="170"/>
      <c r="BB91" s="137" t="s">
        <v>245</v>
      </c>
      <c r="BC91" s="139"/>
      <c r="BD91" s="185"/>
      <c r="BE91" s="191"/>
      <c r="BF91" s="139"/>
      <c r="BG91" s="185"/>
      <c r="BH91" s="191"/>
      <c r="BI91" s="139"/>
      <c r="BJ91" s="185"/>
      <c r="BK91" s="191"/>
      <c r="BL91" s="139"/>
      <c r="BM91" s="185"/>
      <c r="BN91" s="191"/>
      <c r="BO91" s="139"/>
      <c r="BP91" s="185"/>
      <c r="BQ91" s="191"/>
    </row>
    <row r="92" spans="1:69" ht="32.1" customHeight="1">
      <c r="A92" s="136" t="str">
        <f>CONCATENATE(LEFT(A$13,LEN(A$13)-1)," 4:")</f>
        <v>Element 4:</v>
      </c>
      <c r="B92" s="168">
        <f>VLOOKUP(CONCATENATE("4",Konfiguration_Configuration!$N$6),Daten!$B$5:$E$99,3,FALSE)</f>
        <v>1</v>
      </c>
      <c r="C92" s="137" t="s">
        <v>244</v>
      </c>
      <c r="D92" s="239" t="str">
        <f>IF(VLOOKUP(CONCATENATE("4",Konfiguration_Configuration!$N$6),Daten!$B$5:$F$99,5,FALSE)=1,"R/d","")</f>
        <v>R/d</v>
      </c>
      <c r="E92" s="186"/>
      <c r="F92" s="190"/>
      <c r="G92" s="239" t="str">
        <f>IF(VLOOKUP(CONCATENATE("4",Konfiguration_Configuration!$N$6),Daten!$B$5:$F$99,5,FALSE)=1,"R/d","")</f>
        <v>R/d</v>
      </c>
      <c r="H92" s="186"/>
      <c r="I92" s="190"/>
      <c r="J92" s="239" t="str">
        <f>IF(VLOOKUP(CONCATENATE("4",Konfiguration_Configuration!$N$6),Daten!$B$5:$F$99,5,FALSE)=1,"R/d","")</f>
        <v>R/d</v>
      </c>
      <c r="K92" s="186"/>
      <c r="L92" s="190"/>
      <c r="M92" s="239" t="str">
        <f>IF(VLOOKUP(CONCATENATE("4",Konfiguration_Configuration!$N$6),Daten!$B$5:$F$99,5,FALSE)=1,"R/d","")</f>
        <v>R/d</v>
      </c>
      <c r="N92" s="186"/>
      <c r="O92" s="190"/>
      <c r="P92" s="239" t="str">
        <f>IF(VLOOKUP(CONCATENATE("4",Konfiguration_Configuration!$N$6),Daten!$B$5:$F$99,5,FALSE)=1,"R/d","")</f>
        <v>R/d</v>
      </c>
      <c r="Q92" s="186"/>
      <c r="R92" s="190"/>
      <c r="S92" s="168">
        <f>VLOOKUP(CONCATENATE("4",Konfiguration_Configuration!$N$6),Daten!$B$5:$E$99,3,FALSE)</f>
        <v>1</v>
      </c>
      <c r="T92" s="137" t="s">
        <v>244</v>
      </c>
      <c r="U92" s="239" t="str">
        <f>IF(VLOOKUP(CONCATENATE("4",Konfiguration_Configuration!$N$6),Daten!$B$5:$F$99,5,FALSE)=1,"R/d","")</f>
        <v>R/d</v>
      </c>
      <c r="V92" s="186"/>
      <c r="W92" s="190"/>
      <c r="X92" s="239" t="str">
        <f>IF(VLOOKUP(CONCATENATE("4",Konfiguration_Configuration!$N$6),Daten!$B$5:$F$99,5,FALSE)=1,"R/d","")</f>
        <v>R/d</v>
      </c>
      <c r="Y92" s="186"/>
      <c r="Z92" s="190"/>
      <c r="AA92" s="239" t="str">
        <f>IF(VLOOKUP(CONCATENATE("4",Konfiguration_Configuration!$N$6),Daten!$B$5:$F$99,5,FALSE)=1,"R/d","")</f>
        <v>R/d</v>
      </c>
      <c r="AB92" s="186"/>
      <c r="AC92" s="190"/>
      <c r="AD92" s="239" t="str">
        <f>IF(VLOOKUP(CONCATENATE("4",Konfiguration_Configuration!$N$6),Daten!$B$5:$F$99,5,FALSE)=1,"R/d","")</f>
        <v>R/d</v>
      </c>
      <c r="AE92" s="186"/>
      <c r="AF92" s="190"/>
      <c r="AG92" s="239" t="str">
        <f>IF(VLOOKUP(CONCATENATE("4",Konfiguration_Configuration!$N$6),Daten!$B$5:$F$99,5,FALSE)=1,"R/d","")</f>
        <v>R/d</v>
      </c>
      <c r="AH92" s="186"/>
      <c r="AI92" s="190"/>
      <c r="AJ92" s="168">
        <f>VLOOKUP(CONCATENATE("4",Konfiguration_Configuration!$N$6),Daten!$B$5:$E$99,3,FALSE)</f>
        <v>1</v>
      </c>
      <c r="AK92" s="137" t="s">
        <v>244</v>
      </c>
      <c r="AL92" s="239" t="str">
        <f>IF(VLOOKUP(CONCATENATE("4",Konfiguration_Configuration!$N$6),Daten!$B$5:$F$99,5,FALSE)=1,"R/d","")</f>
        <v>R/d</v>
      </c>
      <c r="AM92" s="186"/>
      <c r="AN92" s="190"/>
      <c r="AO92" s="239" t="str">
        <f>IF(VLOOKUP(CONCATENATE("4",Konfiguration_Configuration!$N$6),Daten!$B$5:$F$99,5,FALSE)=1,"R/d","")</f>
        <v>R/d</v>
      </c>
      <c r="AP92" s="186"/>
      <c r="AQ92" s="190"/>
      <c r="AR92" s="239" t="str">
        <f>IF(VLOOKUP(CONCATENATE("4",Konfiguration_Configuration!$N$6),Daten!$B$5:$F$99,5,FALSE)=1,"R/d","")</f>
        <v>R/d</v>
      </c>
      <c r="AS92" s="186"/>
      <c r="AT92" s="190"/>
      <c r="AU92" s="239" t="str">
        <f>IF(VLOOKUP(CONCATENATE("4",Konfiguration_Configuration!$N$6),Daten!$B$5:$F$99,5,FALSE)=1,"R/d","")</f>
        <v>R/d</v>
      </c>
      <c r="AV92" s="186"/>
      <c r="AW92" s="190"/>
      <c r="AX92" s="239" t="str">
        <f>IF(VLOOKUP(CONCATENATE("4",Konfiguration_Configuration!$N$6),Daten!$B$5:$F$99,5,FALSE)=1,"R/d","")</f>
        <v>R/d</v>
      </c>
      <c r="AY92" s="186"/>
      <c r="AZ92" s="190"/>
      <c r="BA92" s="168">
        <f>VLOOKUP(CONCATENATE("4",Konfiguration_Configuration!$N$6),Daten!$B$5:$E$99,3,FALSE)</f>
        <v>1</v>
      </c>
      <c r="BB92" s="137" t="s">
        <v>244</v>
      </c>
      <c r="BC92" s="239" t="str">
        <f>IF(VLOOKUP(CONCATENATE("4",Konfiguration_Configuration!$N$6),Daten!$B$5:$F$99,5,FALSE)=1,"R/d","")</f>
        <v>R/d</v>
      </c>
      <c r="BD92" s="186"/>
      <c r="BE92" s="190"/>
      <c r="BF92" s="239" t="str">
        <f>IF(VLOOKUP(CONCATENATE("4",Konfiguration_Configuration!$N$6),Daten!$B$5:$F$99,5,FALSE)=1,"R/d","")</f>
        <v>R/d</v>
      </c>
      <c r="BG92" s="186"/>
      <c r="BH92" s="190"/>
      <c r="BI92" s="239" t="str">
        <f>IF(VLOOKUP(CONCATENATE("4",Konfiguration_Configuration!$N$6),Daten!$B$5:$F$99,5,FALSE)=1,"R/d","")</f>
        <v>R/d</v>
      </c>
      <c r="BJ92" s="186"/>
      <c r="BK92" s="190"/>
      <c r="BL92" s="239" t="str">
        <f>IF(VLOOKUP(CONCATENATE("4",Konfiguration_Configuration!$N$6),Daten!$B$5:$F$99,5,FALSE)=1,"R/d","")</f>
        <v>R/d</v>
      </c>
      <c r="BM92" s="186"/>
      <c r="BN92" s="190"/>
      <c r="BO92" s="239" t="str">
        <f>IF(VLOOKUP(CONCATENATE("4",Konfiguration_Configuration!$N$6),Daten!$B$5:$F$99,5,FALSE)=1,"R/d","")</f>
        <v>R/d</v>
      </c>
      <c r="BP92" s="186"/>
      <c r="BQ92" s="190"/>
    </row>
    <row r="93" spans="1:69" ht="32.1" customHeight="1">
      <c r="A93" s="371" t="str">
        <f>VLOOKUP(CONCATENATE("4",Konfiguration_Configuration!$N$6),Daten!$B$5:$E$99,2,FALSE)</f>
        <v>ve Dr-ra Dr</v>
      </c>
      <c r="B93" s="169"/>
      <c r="C93" s="137"/>
      <c r="D93" s="232" t="str">
        <f>IF(VLOOKUP(CONCATENATE("4",Konfiguration_Configuration!$N$6),Daten!$B$5:$F$99,5,FALSE)=1,"L/g","")</f>
        <v>L/g</v>
      </c>
      <c r="E93" s="185"/>
      <c r="F93" s="187" t="str">
        <f>IF(E92="","",MAX(E92,E93,E94)/10*$B$23+$B$23)</f>
        <v/>
      </c>
      <c r="G93" s="232" t="str">
        <f>IF(VLOOKUP(CONCATENATE("4",Konfiguration_Configuration!$N$6),Daten!$B$5:$F$99,5,FALSE)=1,"L/g","")</f>
        <v>L/g</v>
      </c>
      <c r="H93" s="185"/>
      <c r="I93" s="187" t="str">
        <f>IF(H92="","",MAX(H92,H93,H94)/10*$B$23+$B$23)</f>
        <v/>
      </c>
      <c r="J93" s="232" t="str">
        <f>IF(VLOOKUP(CONCATENATE("4",Konfiguration_Configuration!$N$6),Daten!$B$5:$F$99,5,FALSE)=1,"L/g","")</f>
        <v>L/g</v>
      </c>
      <c r="K93" s="185"/>
      <c r="L93" s="187" t="str">
        <f>IF(K92="","",MAX(K92,K93,K94)/10*$B$23+$B$23)</f>
        <v/>
      </c>
      <c r="M93" s="232" t="str">
        <f>IF(VLOOKUP(CONCATENATE("4",Konfiguration_Configuration!$N$6),Daten!$B$5:$F$99,5,FALSE)=1,"L/g","")</f>
        <v>L/g</v>
      </c>
      <c r="N93" s="185"/>
      <c r="O93" s="187" t="str">
        <f>IF(N92="","",MAX(N92,N93,N94)/10*$B$23+$B$23)</f>
        <v/>
      </c>
      <c r="P93" s="232" t="str">
        <f>IF(VLOOKUP(CONCATENATE("4",Konfiguration_Configuration!$N$6),Daten!$B$5:$F$99,5,FALSE)=1,"L/g","")</f>
        <v>L/g</v>
      </c>
      <c r="Q93" s="185"/>
      <c r="R93" s="187" t="str">
        <f>IF(Q92="","",MAX(Q92,Q93,Q94)/10*$B$23+$B$23)</f>
        <v/>
      </c>
      <c r="S93" s="169"/>
      <c r="T93" s="137"/>
      <c r="U93" s="232" t="str">
        <f>IF(VLOOKUP(CONCATENATE("4",Konfiguration_Configuration!$N$6),Daten!$B$5:$F$99,5,FALSE)=1,"L/g","")</f>
        <v>L/g</v>
      </c>
      <c r="V93" s="185"/>
      <c r="W93" s="187" t="str">
        <f>IF(V92="","",MAX(V92,V93,V94)/10*$B$23+$B$23)</f>
        <v/>
      </c>
      <c r="X93" s="232" t="str">
        <f>IF(VLOOKUP(CONCATENATE("4",Konfiguration_Configuration!$N$6),Daten!$B$5:$F$99,5,FALSE)=1,"L/g","")</f>
        <v>L/g</v>
      </c>
      <c r="Y93" s="185"/>
      <c r="Z93" s="187" t="str">
        <f>IF(Y92="","",MAX(Y92,Y93,Y94)/10*$B$23+$B$23)</f>
        <v/>
      </c>
      <c r="AA93" s="232" t="str">
        <f>IF(VLOOKUP(CONCATENATE("4",Konfiguration_Configuration!$N$6),Daten!$B$5:$F$99,5,FALSE)=1,"L/g","")</f>
        <v>L/g</v>
      </c>
      <c r="AB93" s="185"/>
      <c r="AC93" s="187" t="str">
        <f>IF(AB92="","",MAX(AB92,AB93,AB94)/10*$B$23+$B$23)</f>
        <v/>
      </c>
      <c r="AD93" s="232" t="str">
        <f>IF(VLOOKUP(CONCATENATE("4",Konfiguration_Configuration!$N$6),Daten!$B$5:$F$99,5,FALSE)=1,"L/g","")</f>
        <v>L/g</v>
      </c>
      <c r="AE93" s="185"/>
      <c r="AF93" s="187" t="str">
        <f>IF(AE92="","",MAX(AE92,AE93,AE94)/10*$B$23+$B$23)</f>
        <v/>
      </c>
      <c r="AG93" s="232" t="str">
        <f>IF(VLOOKUP(CONCATENATE("4",Konfiguration_Configuration!$N$6),Daten!$B$5:$F$99,5,FALSE)=1,"L/g","")</f>
        <v>L/g</v>
      </c>
      <c r="AH93" s="185"/>
      <c r="AI93" s="187" t="str">
        <f>IF(AH92="","",MAX(AH92,AH93,AH94)/10*$B$23+$B$23)</f>
        <v/>
      </c>
      <c r="AJ93" s="169"/>
      <c r="AK93" s="137"/>
      <c r="AL93" s="232" t="str">
        <f>IF(VLOOKUP(CONCATENATE("4",Konfiguration_Configuration!$N$6),Daten!$B$5:$F$99,5,FALSE)=1,"L/g","")</f>
        <v>L/g</v>
      </c>
      <c r="AM93" s="185"/>
      <c r="AN93" s="187" t="str">
        <f>IF(AM92="","",MAX(AM92,AM93,AM94)/10*$B$23+$B$23)</f>
        <v/>
      </c>
      <c r="AO93" s="232" t="str">
        <f>IF(VLOOKUP(CONCATENATE("4",Konfiguration_Configuration!$N$6),Daten!$B$5:$F$99,5,FALSE)=1,"L/g","")</f>
        <v>L/g</v>
      </c>
      <c r="AP93" s="185"/>
      <c r="AQ93" s="187" t="str">
        <f>IF(AP92="","",MAX(AP92,AP93,AP94)/10*$B$23+$B$23)</f>
        <v/>
      </c>
      <c r="AR93" s="232" t="str">
        <f>IF(VLOOKUP(CONCATENATE("4",Konfiguration_Configuration!$N$6),Daten!$B$5:$F$99,5,FALSE)=1,"L/g","")</f>
        <v>L/g</v>
      </c>
      <c r="AS93" s="185"/>
      <c r="AT93" s="187" t="str">
        <f>IF(AS92="","",MAX(AS92,AS93,AS94)/10*$B$23+$B$23)</f>
        <v/>
      </c>
      <c r="AU93" s="232" t="str">
        <f>IF(VLOOKUP(CONCATENATE("4",Konfiguration_Configuration!$N$6),Daten!$B$5:$F$99,5,FALSE)=1,"L/g","")</f>
        <v>L/g</v>
      </c>
      <c r="AV93" s="185"/>
      <c r="AW93" s="187" t="str">
        <f>IF(AV92="","",MAX(AV92,AV93,AV94)/10*$B$23+$B$23)</f>
        <v/>
      </c>
      <c r="AX93" s="232" t="str">
        <f>IF(VLOOKUP(CONCATENATE("4",Konfiguration_Configuration!$N$6),Daten!$B$5:$F$99,5,FALSE)=1,"L/g","")</f>
        <v>L/g</v>
      </c>
      <c r="AY93" s="185"/>
      <c r="AZ93" s="187" t="str">
        <f>IF(AY92="","",MAX(AY92,AY93,AY94)/10*$B$23+$B$23)</f>
        <v/>
      </c>
      <c r="BA93" s="169"/>
      <c r="BB93" s="137"/>
      <c r="BC93" s="232" t="str">
        <f>IF(VLOOKUP(CONCATENATE("4",Konfiguration_Configuration!$N$6),Daten!$B$5:$F$99,5,FALSE)=1,"L/g","")</f>
        <v>L/g</v>
      </c>
      <c r="BD93" s="185"/>
      <c r="BE93" s="187" t="str">
        <f>IF(BD92="","",MAX(BD92,BD93,BD94)/10*$B$23+$B$23)</f>
        <v/>
      </c>
      <c r="BF93" s="232" t="str">
        <f>IF(VLOOKUP(CONCATENATE("4",Konfiguration_Configuration!$N$6),Daten!$B$5:$F$99,5,FALSE)=1,"L/g","")</f>
        <v>L/g</v>
      </c>
      <c r="BG93" s="185"/>
      <c r="BH93" s="187" t="str">
        <f>IF(BG92="","",MAX(BG92,BG93,BG94)/10*$B$23+$B$23)</f>
        <v/>
      </c>
      <c r="BI93" s="232" t="str">
        <f>IF(VLOOKUP(CONCATENATE("4",Konfiguration_Configuration!$N$6),Daten!$B$5:$F$99,5,FALSE)=1,"L/g","")</f>
        <v>L/g</v>
      </c>
      <c r="BJ93" s="185"/>
      <c r="BK93" s="187" t="str">
        <f>IF(BJ92="","",MAX(BJ92,BJ93,BJ94)/10*$B$23+$B$23)</f>
        <v/>
      </c>
      <c r="BL93" s="232" t="str">
        <f>IF(VLOOKUP(CONCATENATE("4",Konfiguration_Configuration!$N$6),Daten!$B$5:$F$99,5,FALSE)=1,"L/g","")</f>
        <v>L/g</v>
      </c>
      <c r="BM93" s="185"/>
      <c r="BN93" s="187" t="str">
        <f>IF(BM92="","",MAX(BM92,BM93,BM94)/10*$B$23+$B$23)</f>
        <v/>
      </c>
      <c r="BO93" s="232" t="str">
        <f>IF(VLOOKUP(CONCATENATE("4",Konfiguration_Configuration!$N$6),Daten!$B$5:$F$99,5,FALSE)=1,"L/g","")</f>
        <v>L/g</v>
      </c>
      <c r="BP93" s="185"/>
      <c r="BQ93" s="187" t="str">
        <f>IF(BP92="","",MAX(BP92,BP93,BP94)/10*$B$23+$B$23)</f>
        <v/>
      </c>
    </row>
    <row r="94" spans="1:69" ht="32.1" customHeight="1">
      <c r="A94" s="372"/>
      <c r="B94" s="170"/>
      <c r="C94" s="137" t="s">
        <v>245</v>
      </c>
      <c r="D94" s="135"/>
      <c r="E94" s="186"/>
      <c r="F94" s="191"/>
      <c r="G94" s="135"/>
      <c r="H94" s="186"/>
      <c r="I94" s="191"/>
      <c r="J94" s="135"/>
      <c r="K94" s="186"/>
      <c r="L94" s="191"/>
      <c r="M94" s="135"/>
      <c r="N94" s="186"/>
      <c r="O94" s="191"/>
      <c r="P94" s="135"/>
      <c r="Q94" s="186"/>
      <c r="R94" s="191"/>
      <c r="S94" s="170"/>
      <c r="T94" s="137" t="s">
        <v>245</v>
      </c>
      <c r="U94" s="135"/>
      <c r="V94" s="186"/>
      <c r="W94" s="191"/>
      <c r="X94" s="135"/>
      <c r="Y94" s="186"/>
      <c r="Z94" s="191"/>
      <c r="AA94" s="135"/>
      <c r="AB94" s="186"/>
      <c r="AC94" s="191"/>
      <c r="AD94" s="135"/>
      <c r="AE94" s="186"/>
      <c r="AF94" s="191"/>
      <c r="AG94" s="135"/>
      <c r="AH94" s="186"/>
      <c r="AI94" s="191"/>
      <c r="AJ94" s="170"/>
      <c r="AK94" s="137" t="s">
        <v>245</v>
      </c>
      <c r="AL94" s="135"/>
      <c r="AM94" s="186"/>
      <c r="AN94" s="191"/>
      <c r="AO94" s="135"/>
      <c r="AP94" s="186"/>
      <c r="AQ94" s="191"/>
      <c r="AR94" s="135"/>
      <c r="AS94" s="186"/>
      <c r="AT94" s="191"/>
      <c r="AU94" s="135"/>
      <c r="AV94" s="186"/>
      <c r="AW94" s="191"/>
      <c r="AX94" s="135"/>
      <c r="AY94" s="186"/>
      <c r="AZ94" s="191"/>
      <c r="BA94" s="170"/>
      <c r="BB94" s="137" t="s">
        <v>245</v>
      </c>
      <c r="BC94" s="135"/>
      <c r="BD94" s="186"/>
      <c r="BE94" s="191"/>
      <c r="BF94" s="135"/>
      <c r="BG94" s="186"/>
      <c r="BH94" s="191"/>
      <c r="BI94" s="135"/>
      <c r="BJ94" s="186"/>
      <c r="BK94" s="191"/>
      <c r="BL94" s="135"/>
      <c r="BM94" s="186"/>
      <c r="BN94" s="191"/>
      <c r="BO94" s="135"/>
      <c r="BP94" s="186"/>
      <c r="BQ94" s="191"/>
    </row>
    <row r="95" spans="1:69" ht="32.1" customHeight="1">
      <c r="A95" s="136" t="str">
        <f>CONCATENATE(LEFT(A$13,LEN(A$13)-1)," 5:")</f>
        <v>Element 5:</v>
      </c>
      <c r="B95" s="168">
        <f>VLOOKUP(CONCATENATE("5",Konfiguration_Configuration!$N$6),Daten!$B$5:$E$99,3,FALSE)</f>
        <v>1</v>
      </c>
      <c r="C95" s="137" t="s">
        <v>244</v>
      </c>
      <c r="D95" s="239" t="str">
        <f>IF(VLOOKUP(CONCATENATE("5",Konfiguration_Configuration!$N$6),Daten!$B$5:$F$99,5,FALSE)=1,"R/d","")</f>
        <v/>
      </c>
      <c r="E95" s="186"/>
      <c r="F95" s="190"/>
      <c r="G95" s="239" t="str">
        <f>IF(VLOOKUP(CONCATENATE("5",Konfiguration_Configuration!$N$6),Daten!$B$5:$F$99,5,FALSE)=1,"R/d","")</f>
        <v/>
      </c>
      <c r="H95" s="186"/>
      <c r="I95" s="190"/>
      <c r="J95" s="239" t="str">
        <f>IF(VLOOKUP(CONCATENATE("5",Konfiguration_Configuration!$N$6),Daten!$B$5:$F$99,5,FALSE)=1,"R/d","")</f>
        <v/>
      </c>
      <c r="K95" s="186"/>
      <c r="L95" s="190"/>
      <c r="M95" s="239" t="str">
        <f>IF(VLOOKUP(CONCATENATE("5",Konfiguration_Configuration!$N$6),Daten!$B$5:$F$99,5,FALSE)=1,"R/d","")</f>
        <v/>
      </c>
      <c r="N95" s="186"/>
      <c r="O95" s="190"/>
      <c r="P95" s="239" t="str">
        <f>IF(VLOOKUP(CONCATENATE("5",Konfiguration_Configuration!$N$6),Daten!$B$5:$F$99,5,FALSE)=1,"R/d","")</f>
        <v/>
      </c>
      <c r="Q95" s="186"/>
      <c r="R95" s="190"/>
      <c r="S95" s="168">
        <f>VLOOKUP(CONCATENATE("5",Konfiguration_Configuration!$N$6),Daten!$B$5:$E$99,3,FALSE)</f>
        <v>1</v>
      </c>
      <c r="T95" s="137" t="s">
        <v>244</v>
      </c>
      <c r="U95" s="239" t="str">
        <f>IF(VLOOKUP(CONCATENATE("5",Konfiguration_Configuration!$N$6),Daten!$B$5:$F$99,5,FALSE)=1,"R/d","")</f>
        <v/>
      </c>
      <c r="V95" s="186"/>
      <c r="W95" s="190"/>
      <c r="X95" s="239" t="str">
        <f>IF(VLOOKUP(CONCATENATE("5",Konfiguration_Configuration!$N$6),Daten!$B$5:$F$99,5,FALSE)=1,"R/d","")</f>
        <v/>
      </c>
      <c r="Y95" s="186"/>
      <c r="Z95" s="190"/>
      <c r="AA95" s="239" t="str">
        <f>IF(VLOOKUP(CONCATENATE("5",Konfiguration_Configuration!$N$6),Daten!$B$5:$F$99,5,FALSE)=1,"R/d","")</f>
        <v/>
      </c>
      <c r="AB95" s="186"/>
      <c r="AC95" s="190"/>
      <c r="AD95" s="239" t="str">
        <f>IF(VLOOKUP(CONCATENATE("5",Konfiguration_Configuration!$N$6),Daten!$B$5:$F$99,5,FALSE)=1,"R/d","")</f>
        <v/>
      </c>
      <c r="AE95" s="186"/>
      <c r="AF95" s="190"/>
      <c r="AG95" s="239" t="str">
        <f>IF(VLOOKUP(CONCATENATE("5",Konfiguration_Configuration!$N$6),Daten!$B$5:$F$99,5,FALSE)=1,"R/d","")</f>
        <v/>
      </c>
      <c r="AH95" s="186"/>
      <c r="AI95" s="190"/>
      <c r="AJ95" s="168">
        <f>VLOOKUP(CONCATENATE("5",Konfiguration_Configuration!$N$6),Daten!$B$5:$E$99,3,FALSE)</f>
        <v>1</v>
      </c>
      <c r="AK95" s="137" t="s">
        <v>244</v>
      </c>
      <c r="AL95" s="239" t="str">
        <f>IF(VLOOKUP(CONCATENATE("5",Konfiguration_Configuration!$N$6),Daten!$B$5:$F$99,5,FALSE)=1,"R/d","")</f>
        <v/>
      </c>
      <c r="AM95" s="186"/>
      <c r="AN95" s="190"/>
      <c r="AO95" s="239" t="str">
        <f>IF(VLOOKUP(CONCATENATE("5",Konfiguration_Configuration!$N$6),Daten!$B$5:$F$99,5,FALSE)=1,"R/d","")</f>
        <v/>
      </c>
      <c r="AP95" s="186"/>
      <c r="AQ95" s="190"/>
      <c r="AR95" s="239" t="str">
        <f>IF(VLOOKUP(CONCATENATE("5",Konfiguration_Configuration!$N$6),Daten!$B$5:$F$99,5,FALSE)=1,"R/d","")</f>
        <v/>
      </c>
      <c r="AS95" s="186"/>
      <c r="AT95" s="190"/>
      <c r="AU95" s="239" t="str">
        <f>IF(VLOOKUP(CONCATENATE("5",Konfiguration_Configuration!$N$6),Daten!$B$5:$F$99,5,FALSE)=1,"R/d","")</f>
        <v/>
      </c>
      <c r="AV95" s="186"/>
      <c r="AW95" s="190"/>
      <c r="AX95" s="239" t="str">
        <f>IF(VLOOKUP(CONCATENATE("5",Konfiguration_Configuration!$N$6),Daten!$B$5:$F$99,5,FALSE)=1,"R/d","")</f>
        <v/>
      </c>
      <c r="AY95" s="186"/>
      <c r="AZ95" s="190"/>
      <c r="BA95" s="168">
        <f>VLOOKUP(CONCATENATE("5",Konfiguration_Configuration!$N$6),Daten!$B$5:$E$99,3,FALSE)</f>
        <v>1</v>
      </c>
      <c r="BB95" s="137" t="s">
        <v>244</v>
      </c>
      <c r="BC95" s="239" t="str">
        <f>IF(VLOOKUP(CONCATENATE("5",Konfiguration_Configuration!$N$6),Daten!$B$5:$F$99,5,FALSE)=1,"R/d","")</f>
        <v/>
      </c>
      <c r="BD95" s="186"/>
      <c r="BE95" s="190"/>
      <c r="BF95" s="239" t="str">
        <f>IF(VLOOKUP(CONCATENATE("5",Konfiguration_Configuration!$N$6),Daten!$B$5:$F$99,5,FALSE)=1,"R/d","")</f>
        <v/>
      </c>
      <c r="BG95" s="186"/>
      <c r="BH95" s="190"/>
      <c r="BI95" s="239" t="str">
        <f>IF(VLOOKUP(CONCATENATE("5",Konfiguration_Configuration!$N$6),Daten!$B$5:$F$99,5,FALSE)=1,"R/d","")</f>
        <v/>
      </c>
      <c r="BJ95" s="186"/>
      <c r="BK95" s="190"/>
      <c r="BL95" s="239" t="str">
        <f>IF(VLOOKUP(CONCATENATE("5",Konfiguration_Configuration!$N$6),Daten!$B$5:$F$99,5,FALSE)=1,"R/d","")</f>
        <v/>
      </c>
      <c r="BM95" s="186"/>
      <c r="BN95" s="190"/>
      <c r="BO95" s="239" t="str">
        <f>IF(VLOOKUP(CONCATENATE("5",Konfiguration_Configuration!$N$6),Daten!$B$5:$F$99,5,FALSE)=1,"R/d","")</f>
        <v/>
      </c>
      <c r="BP95" s="186"/>
      <c r="BQ95" s="190"/>
    </row>
    <row r="96" spans="1:69" ht="32.1" customHeight="1">
      <c r="A96" s="371" t="str">
        <f>VLOOKUP(CONCATENATE("5",Konfiguration_Configuration!$N$6),Daten!$B$5:$E$99,2,FALSE)</f>
        <v>A: Schl+oMo / B: 2 versch. Schl+Mo</v>
      </c>
      <c r="B96" s="169"/>
      <c r="C96" s="137"/>
      <c r="D96" s="232" t="str">
        <f>IF(VLOOKUP(CONCATENATE("5",Konfiguration_Configuration!$N$6),Daten!$B$5:$F$99,5,FALSE)=1,"L/g","")</f>
        <v/>
      </c>
      <c r="E96" s="185"/>
      <c r="F96" s="187" t="str">
        <f>IF(E95="","",MAX(E95,E96,E97)/10*$B$26+$B$26)</f>
        <v/>
      </c>
      <c r="G96" s="232" t="str">
        <f>IF(VLOOKUP(CONCATENATE("5",Konfiguration_Configuration!$N$6),Daten!$B$5:$F$99,5,FALSE)=1,"L/g","")</f>
        <v/>
      </c>
      <c r="H96" s="185"/>
      <c r="I96" s="187" t="str">
        <f>IF(H95="","",MAX(H95,H96,H97)/10*$B$26+$B$26)</f>
        <v/>
      </c>
      <c r="J96" s="232" t="str">
        <f>IF(VLOOKUP(CONCATENATE("5",Konfiguration_Configuration!$N$6),Daten!$B$5:$F$99,5,FALSE)=1,"L/g","")</f>
        <v/>
      </c>
      <c r="K96" s="185"/>
      <c r="L96" s="187" t="str">
        <f>IF(K95="","",MAX(K95,K96,K97)/10*$B$26+$B$26)</f>
        <v/>
      </c>
      <c r="M96" s="232" t="str">
        <f>IF(VLOOKUP(CONCATENATE("5",Konfiguration_Configuration!$N$6),Daten!$B$5:$F$99,5,FALSE)=1,"L/g","")</f>
        <v/>
      </c>
      <c r="N96" s="185"/>
      <c r="O96" s="187" t="str">
        <f>IF(N95="","",MAX(N95,N96,N97)/10*$B$26+$B$26)</f>
        <v/>
      </c>
      <c r="P96" s="232" t="str">
        <f>IF(VLOOKUP(CONCATENATE("5",Konfiguration_Configuration!$N$6),Daten!$B$5:$F$99,5,FALSE)=1,"L/g","")</f>
        <v/>
      </c>
      <c r="Q96" s="185"/>
      <c r="R96" s="187" t="str">
        <f>IF(Q95="","",MAX(Q95,Q96,Q97)/10*$B$26+$B$26)</f>
        <v/>
      </c>
      <c r="S96" s="169"/>
      <c r="T96" s="137"/>
      <c r="U96" s="232" t="str">
        <f>IF(VLOOKUP(CONCATENATE("5",Konfiguration_Configuration!$N$6),Daten!$B$5:$F$99,5,FALSE)=1,"L/g","")</f>
        <v/>
      </c>
      <c r="V96" s="185"/>
      <c r="W96" s="187" t="str">
        <f>IF(V95="","",MAX(V95,V96,V97)/10*$B$26+$B$26)</f>
        <v/>
      </c>
      <c r="X96" s="232" t="str">
        <f>IF(VLOOKUP(CONCATENATE("5",Konfiguration_Configuration!$N$6),Daten!$B$5:$F$99,5,FALSE)=1,"L/g","")</f>
        <v/>
      </c>
      <c r="Y96" s="185"/>
      <c r="Z96" s="187" t="str">
        <f>IF(Y95="","",MAX(Y95,Y96,Y97)/10*$B$26+$B$26)</f>
        <v/>
      </c>
      <c r="AA96" s="232" t="str">
        <f>IF(VLOOKUP(CONCATENATE("5",Konfiguration_Configuration!$N$6),Daten!$B$5:$F$99,5,FALSE)=1,"L/g","")</f>
        <v/>
      </c>
      <c r="AB96" s="185"/>
      <c r="AC96" s="187" t="str">
        <f>IF(AB95="","",MAX(AB95,AB96,AB97)/10*$B$26+$B$26)</f>
        <v/>
      </c>
      <c r="AD96" s="232" t="str">
        <f>IF(VLOOKUP(CONCATENATE("5",Konfiguration_Configuration!$N$6),Daten!$B$5:$F$99,5,FALSE)=1,"L/g","")</f>
        <v/>
      </c>
      <c r="AE96" s="185"/>
      <c r="AF96" s="187" t="str">
        <f>IF(AE95="","",MAX(AE95,AE96,AE97)/10*$B$26+$B$26)</f>
        <v/>
      </c>
      <c r="AG96" s="232" t="str">
        <f>IF(VLOOKUP(CONCATENATE("5",Konfiguration_Configuration!$N$6),Daten!$B$5:$F$99,5,FALSE)=1,"L/g","")</f>
        <v/>
      </c>
      <c r="AH96" s="185"/>
      <c r="AI96" s="187" t="str">
        <f>IF(AH95="","",MAX(AH95,AH96,AH97)/10*$B$26+$B$26)</f>
        <v/>
      </c>
      <c r="AJ96" s="169"/>
      <c r="AK96" s="137"/>
      <c r="AL96" s="232" t="str">
        <f>IF(VLOOKUP(CONCATENATE("5",Konfiguration_Configuration!$N$6),Daten!$B$5:$F$99,5,FALSE)=1,"L/g","")</f>
        <v/>
      </c>
      <c r="AM96" s="185"/>
      <c r="AN96" s="187" t="str">
        <f>IF(AM95="","",MAX(AM95,AM96,AM97)/10*$B$26+$B$26)</f>
        <v/>
      </c>
      <c r="AO96" s="232" t="str">
        <f>IF(VLOOKUP(CONCATENATE("5",Konfiguration_Configuration!$N$6),Daten!$B$5:$F$99,5,FALSE)=1,"L/g","")</f>
        <v/>
      </c>
      <c r="AP96" s="185"/>
      <c r="AQ96" s="187" t="str">
        <f>IF(AP95="","",MAX(AP95,AP96,AP97)/10*$B$26+$B$26)</f>
        <v/>
      </c>
      <c r="AR96" s="232" t="str">
        <f>IF(VLOOKUP(CONCATENATE("5",Konfiguration_Configuration!$N$6),Daten!$B$5:$F$99,5,FALSE)=1,"L/g","")</f>
        <v/>
      </c>
      <c r="AS96" s="185"/>
      <c r="AT96" s="187" t="str">
        <f>IF(AS95="","",MAX(AS95,AS96,AS97)/10*$B$26+$B$26)</f>
        <v/>
      </c>
      <c r="AU96" s="232" t="str">
        <f>IF(VLOOKUP(CONCATENATE("5",Konfiguration_Configuration!$N$6),Daten!$B$5:$F$99,5,FALSE)=1,"L/g","")</f>
        <v/>
      </c>
      <c r="AV96" s="185"/>
      <c r="AW96" s="187" t="str">
        <f>IF(AV95="","",MAX(AV95,AV96,AV97)/10*$B$26+$B$26)</f>
        <v/>
      </c>
      <c r="AX96" s="232" t="str">
        <f>IF(VLOOKUP(CONCATENATE("5",Konfiguration_Configuration!$N$6),Daten!$B$5:$F$99,5,FALSE)=1,"L/g","")</f>
        <v/>
      </c>
      <c r="AY96" s="185"/>
      <c r="AZ96" s="187" t="str">
        <f>IF(AY95="","",MAX(AY95,AY96,AY97)/10*$B$26+$B$26)</f>
        <v/>
      </c>
      <c r="BA96" s="169"/>
      <c r="BB96" s="137"/>
      <c r="BC96" s="232" t="str">
        <f>IF(VLOOKUP(CONCATENATE("5",Konfiguration_Configuration!$N$6),Daten!$B$5:$F$99,5,FALSE)=1,"L/g","")</f>
        <v/>
      </c>
      <c r="BD96" s="185"/>
      <c r="BE96" s="187" t="str">
        <f>IF(BD95="","",MAX(BD95,BD96,BD97)/10*$B$26+$B$26)</f>
        <v/>
      </c>
      <c r="BF96" s="232" t="str">
        <f>IF(VLOOKUP(CONCATENATE("5",Konfiguration_Configuration!$N$6),Daten!$B$5:$F$99,5,FALSE)=1,"L/g","")</f>
        <v/>
      </c>
      <c r="BG96" s="185"/>
      <c r="BH96" s="187" t="str">
        <f>IF(BG95="","",MAX(BG95,BG96,BG97)/10*$B$26+$B$26)</f>
        <v/>
      </c>
      <c r="BI96" s="232" t="str">
        <f>IF(VLOOKUP(CONCATENATE("5",Konfiguration_Configuration!$N$6),Daten!$B$5:$F$99,5,FALSE)=1,"L/g","")</f>
        <v/>
      </c>
      <c r="BJ96" s="185"/>
      <c r="BK96" s="187" t="str">
        <f>IF(BJ95="","",MAX(BJ95,BJ96,BJ97)/10*$B$26+$B$26)</f>
        <v/>
      </c>
      <c r="BL96" s="232" t="str">
        <f>IF(VLOOKUP(CONCATENATE("5",Konfiguration_Configuration!$N$6),Daten!$B$5:$F$99,5,FALSE)=1,"L/g","")</f>
        <v/>
      </c>
      <c r="BM96" s="185"/>
      <c r="BN96" s="187" t="str">
        <f>IF(BM95="","",MAX(BM95,BM96,BM97)/10*$B$26+$B$26)</f>
        <v/>
      </c>
      <c r="BO96" s="232" t="str">
        <f>IF(VLOOKUP(CONCATENATE("5",Konfiguration_Configuration!$N$6),Daten!$B$5:$F$99,5,FALSE)=1,"L/g","")</f>
        <v/>
      </c>
      <c r="BP96" s="185"/>
      <c r="BQ96" s="187" t="str">
        <f>IF(BP95="","",MAX(BP95,BP96,BP97)/10*$B$26+$B$26)</f>
        <v/>
      </c>
    </row>
    <row r="97" spans="1:73" ht="32.1" customHeight="1">
      <c r="A97" s="372"/>
      <c r="B97" s="170"/>
      <c r="C97" s="137" t="s">
        <v>245</v>
      </c>
      <c r="D97" s="135"/>
      <c r="E97" s="186"/>
      <c r="F97" s="191"/>
      <c r="G97" s="135"/>
      <c r="H97" s="186"/>
      <c r="I97" s="191"/>
      <c r="J97" s="135"/>
      <c r="K97" s="186"/>
      <c r="L97" s="191"/>
      <c r="M97" s="135"/>
      <c r="N97" s="186"/>
      <c r="O97" s="191"/>
      <c r="P97" s="135"/>
      <c r="Q97" s="186"/>
      <c r="R97" s="191"/>
      <c r="S97" s="170"/>
      <c r="T97" s="137" t="s">
        <v>245</v>
      </c>
      <c r="U97" s="135"/>
      <c r="V97" s="186"/>
      <c r="W97" s="191"/>
      <c r="X97" s="135"/>
      <c r="Y97" s="186"/>
      <c r="Z97" s="191"/>
      <c r="AA97" s="135"/>
      <c r="AB97" s="186"/>
      <c r="AC97" s="191"/>
      <c r="AD97" s="135"/>
      <c r="AE97" s="186"/>
      <c r="AF97" s="191"/>
      <c r="AG97" s="135"/>
      <c r="AH97" s="186"/>
      <c r="AI97" s="191"/>
      <c r="AJ97" s="170"/>
      <c r="AK97" s="137" t="s">
        <v>245</v>
      </c>
      <c r="AL97" s="135"/>
      <c r="AM97" s="186"/>
      <c r="AN97" s="191"/>
      <c r="AO97" s="135"/>
      <c r="AP97" s="186"/>
      <c r="AQ97" s="191"/>
      <c r="AR97" s="135"/>
      <c r="AS97" s="186"/>
      <c r="AT97" s="191"/>
      <c r="AU97" s="135"/>
      <c r="AV97" s="186"/>
      <c r="AW97" s="191"/>
      <c r="AX97" s="135"/>
      <c r="AY97" s="186"/>
      <c r="AZ97" s="191"/>
      <c r="BA97" s="170"/>
      <c r="BB97" s="137" t="s">
        <v>245</v>
      </c>
      <c r="BC97" s="135"/>
      <c r="BD97" s="186"/>
      <c r="BE97" s="191"/>
      <c r="BF97" s="135"/>
      <c r="BG97" s="186"/>
      <c r="BH97" s="191"/>
      <c r="BI97" s="135"/>
      <c r="BJ97" s="186"/>
      <c r="BK97" s="191"/>
      <c r="BL97" s="135"/>
      <c r="BM97" s="186"/>
      <c r="BN97" s="191"/>
      <c r="BO97" s="135"/>
      <c r="BP97" s="186"/>
      <c r="BQ97" s="191"/>
    </row>
    <row r="98" spans="1:73" ht="18" customHeight="1">
      <c r="A98" s="222"/>
      <c r="B98" s="220"/>
      <c r="C98" s="221"/>
      <c r="D98" s="373" t="str">
        <f>VLOOKUP(CONCATENATE("12",Konfiguration_Configuration!$N$6),Daten!$B$5:$E$99,2,FALSE)</f>
        <v xml:space="preserve">Zum Bestehen des 1. Teils braucht der Läufer die Punktzahl der BASE bei der Mehrheit der Preisrichter und bei der Mehrheit der Elemente. </v>
      </c>
      <c r="E98" s="330"/>
      <c r="F98" s="330"/>
      <c r="G98" s="330"/>
      <c r="H98" s="330"/>
      <c r="I98" s="330"/>
      <c r="J98" s="330"/>
      <c r="K98" s="330"/>
      <c r="L98" s="330"/>
      <c r="M98" s="330"/>
      <c r="N98" s="330"/>
      <c r="O98" s="330"/>
      <c r="P98" s="330"/>
      <c r="Q98" s="330"/>
      <c r="R98" s="331"/>
      <c r="S98" s="220"/>
      <c r="T98" s="248"/>
      <c r="U98" s="373" t="str">
        <f>VLOOKUP(CONCATENATE("12",Konfiguration_Configuration!$N$6),Daten!$B$5:$E$99,2,FALSE)</f>
        <v xml:space="preserve">Zum Bestehen des 1. Teils braucht der Läufer die Punktzahl der BASE bei der Mehrheit der Preisrichter und bei der Mehrheit der Elemente. </v>
      </c>
      <c r="V98" s="330"/>
      <c r="W98" s="330"/>
      <c r="X98" s="330"/>
      <c r="Y98" s="330"/>
      <c r="Z98" s="330"/>
      <c r="AA98" s="330"/>
      <c r="AB98" s="330"/>
      <c r="AC98" s="330"/>
      <c r="AD98" s="330"/>
      <c r="AE98" s="330"/>
      <c r="AF98" s="330"/>
      <c r="AG98" s="330"/>
      <c r="AH98" s="330"/>
      <c r="AI98" s="331"/>
      <c r="AJ98" s="220"/>
      <c r="AK98" s="248"/>
      <c r="AL98" s="373" t="str">
        <f>VLOOKUP(CONCATENATE("12",Konfiguration_Configuration!$N$6),Daten!$B$5:$E$99,2,FALSE)</f>
        <v xml:space="preserve">Zum Bestehen des 1. Teils braucht der Läufer die Punktzahl der BASE bei der Mehrheit der Preisrichter und bei der Mehrheit der Elemente. </v>
      </c>
      <c r="AM98" s="330"/>
      <c r="AN98" s="330"/>
      <c r="AO98" s="330"/>
      <c r="AP98" s="330"/>
      <c r="AQ98" s="330"/>
      <c r="AR98" s="330"/>
      <c r="AS98" s="330"/>
      <c r="AT98" s="330"/>
      <c r="AU98" s="330"/>
      <c r="AV98" s="330"/>
      <c r="AW98" s="330"/>
      <c r="AX98" s="330"/>
      <c r="AY98" s="330"/>
      <c r="AZ98" s="331"/>
      <c r="BA98" s="220"/>
      <c r="BB98" s="248"/>
      <c r="BC98" s="373" t="str">
        <f>VLOOKUP(CONCATENATE("12",Konfiguration_Configuration!$N$6),Daten!$B$5:$E$99,2,FALSE)</f>
        <v xml:space="preserve">Zum Bestehen des 1. Teils braucht der Läufer die Punktzahl der BASE bei der Mehrheit der Preisrichter und bei der Mehrheit der Elemente. </v>
      </c>
      <c r="BD98" s="330"/>
      <c r="BE98" s="330"/>
      <c r="BF98" s="330"/>
      <c r="BG98" s="330"/>
      <c r="BH98" s="330"/>
      <c r="BI98" s="330"/>
      <c r="BJ98" s="330"/>
      <c r="BK98" s="330"/>
      <c r="BL98" s="330"/>
      <c r="BM98" s="330"/>
      <c r="BN98" s="330"/>
      <c r="BO98" s="330"/>
      <c r="BP98" s="330"/>
      <c r="BQ98" s="331"/>
    </row>
    <row r="99" spans="1:73" ht="32.1" customHeight="1">
      <c r="A99" s="224" t="str">
        <f>VLOOKUP(CONCATENATE("11",Konfiguration_Configuration!N$6),Daten!B$5:C168,2,FALSE)</f>
        <v>Total pro Preisrichter</v>
      </c>
      <c r="B99" s="240">
        <f>VLOOKUP(CONCATENATE("10",Konfiguration_Configuration!$N$6),Daten!$B$5:$E$99,3,FALSE)</f>
        <v>5</v>
      </c>
      <c r="C99" s="176"/>
      <c r="D99" s="254" t="str">
        <f>VLOOKUP(CONCATENATE("13",Konfiguration_Configuration!$N$6),Daten!$B$5:$E$99,2,FALSE)</f>
        <v>1. Teil bestanden:  ja  nein</v>
      </c>
      <c r="E99" s="177"/>
      <c r="F99" s="146"/>
      <c r="G99" s="254" t="str">
        <f>VLOOKUP(CONCATENATE("13",Konfiguration_Configuration!$N$6),Daten!$B$5:$E$99,2,FALSE)</f>
        <v>1. Teil bestanden:  ja  nein</v>
      </c>
      <c r="H99" s="177"/>
      <c r="I99" s="146"/>
      <c r="J99" s="254" t="str">
        <f>VLOOKUP(CONCATENATE("13",Konfiguration_Configuration!$N$6),Daten!$B$5:$E$99,2,FALSE)</f>
        <v>1. Teil bestanden:  ja  nein</v>
      </c>
      <c r="K99" s="177"/>
      <c r="L99" s="146"/>
      <c r="M99" s="254" t="str">
        <f>VLOOKUP(CONCATENATE("13",Konfiguration_Configuration!$N$6),Daten!$B$5:$E$99,2,FALSE)</f>
        <v>1. Teil bestanden:  ja  nein</v>
      </c>
      <c r="N99" s="177"/>
      <c r="O99" s="146"/>
      <c r="P99" s="254" t="str">
        <f>VLOOKUP(CONCATENATE("13",Konfiguration_Configuration!$N$6),Daten!$B$5:$E$99,2,FALSE)</f>
        <v>1. Teil bestanden:  ja  nein</v>
      </c>
      <c r="Q99" s="177"/>
      <c r="R99" s="146"/>
      <c r="S99" s="240">
        <f>VLOOKUP(CONCATENATE("10",Konfiguration_Configuration!$N$6),Daten!$B$5:$E$99,3,FALSE)</f>
        <v>5</v>
      </c>
      <c r="T99" s="176"/>
      <c r="U99" s="254" t="str">
        <f>VLOOKUP(CONCATENATE("13",Konfiguration_Configuration!$N$6),Daten!$B$5:$E$99,2,FALSE)</f>
        <v>1. Teil bestanden:  ja  nein</v>
      </c>
      <c r="V99" s="177"/>
      <c r="W99" s="146"/>
      <c r="X99" s="254" t="str">
        <f>VLOOKUP(CONCATENATE("13",Konfiguration_Configuration!$N$6),Daten!$B$5:$E$99,2,FALSE)</f>
        <v>1. Teil bestanden:  ja  nein</v>
      </c>
      <c r="Y99" s="177"/>
      <c r="Z99" s="146"/>
      <c r="AA99" s="254" t="str">
        <f>VLOOKUP(CONCATENATE("13",Konfiguration_Configuration!$N$6),Daten!$B$5:$E$99,2,FALSE)</f>
        <v>1. Teil bestanden:  ja  nein</v>
      </c>
      <c r="AB99" s="177"/>
      <c r="AC99" s="146"/>
      <c r="AD99" s="254" t="str">
        <f>VLOOKUP(CONCATENATE("13",Konfiguration_Configuration!$N$6),Daten!$B$5:$E$99,2,FALSE)</f>
        <v>1. Teil bestanden:  ja  nein</v>
      </c>
      <c r="AE99" s="177"/>
      <c r="AF99" s="146"/>
      <c r="AG99" s="254" t="str">
        <f>VLOOKUP(CONCATENATE("13",Konfiguration_Configuration!$N$6),Daten!$B$5:$E$99,2,FALSE)</f>
        <v>1. Teil bestanden:  ja  nein</v>
      </c>
      <c r="AH99" s="177"/>
      <c r="AI99" s="146"/>
      <c r="AJ99" s="240">
        <f>VLOOKUP(CONCATENATE("10",Konfiguration_Configuration!$N$6),Daten!$B$5:$E$99,3,FALSE)</f>
        <v>5</v>
      </c>
      <c r="AK99" s="176"/>
      <c r="AL99" s="254" t="str">
        <f>VLOOKUP(CONCATENATE("13",Konfiguration_Configuration!$N$6),Daten!$B$5:$E$99,2,FALSE)</f>
        <v>1. Teil bestanden:  ja  nein</v>
      </c>
      <c r="AM99" s="177"/>
      <c r="AN99" s="146"/>
      <c r="AO99" s="254" t="str">
        <f>VLOOKUP(CONCATENATE("13",Konfiguration_Configuration!$N$6),Daten!$B$5:$E$99,2,FALSE)</f>
        <v>1. Teil bestanden:  ja  nein</v>
      </c>
      <c r="AP99" s="177"/>
      <c r="AQ99" s="146"/>
      <c r="AR99" s="254" t="str">
        <f>VLOOKUP(CONCATENATE("13",Konfiguration_Configuration!$N$6),Daten!$B$5:$E$99,2,FALSE)</f>
        <v>1. Teil bestanden:  ja  nein</v>
      </c>
      <c r="AS99" s="177"/>
      <c r="AT99" s="146"/>
      <c r="AU99" s="254" t="str">
        <f>VLOOKUP(CONCATENATE("13",Konfiguration_Configuration!$N$6),Daten!$B$5:$E$99,2,FALSE)</f>
        <v>1. Teil bestanden:  ja  nein</v>
      </c>
      <c r="AV99" s="177"/>
      <c r="AW99" s="146"/>
      <c r="AX99" s="254" t="str">
        <f>VLOOKUP(CONCATENATE("13",Konfiguration_Configuration!$N$6),Daten!$B$5:$E$99,2,FALSE)</f>
        <v>1. Teil bestanden:  ja  nein</v>
      </c>
      <c r="AY99" s="177"/>
      <c r="AZ99" s="146"/>
      <c r="BA99" s="240">
        <f>VLOOKUP(CONCATENATE("10",Konfiguration_Configuration!$N$6),Daten!$B$5:$E$99,3,FALSE)</f>
        <v>5</v>
      </c>
      <c r="BB99" s="176"/>
      <c r="BC99" s="254" t="str">
        <f>VLOOKUP(CONCATENATE("13",Konfiguration_Configuration!$N$6),Daten!$B$5:$E$99,2,FALSE)</f>
        <v>1. Teil bestanden:  ja  nein</v>
      </c>
      <c r="BD99" s="177"/>
      <c r="BE99" s="146"/>
      <c r="BF99" s="254" t="str">
        <f>VLOOKUP(CONCATENATE("13",Konfiguration_Configuration!$N$6),Daten!$B$5:$E$99,2,FALSE)</f>
        <v>1. Teil bestanden:  ja  nein</v>
      </c>
      <c r="BG99" s="177"/>
      <c r="BH99" s="146"/>
      <c r="BI99" s="254" t="str">
        <f>VLOOKUP(CONCATENATE("13",Konfiguration_Configuration!$N$6),Daten!$B$5:$E$99,2,FALSE)</f>
        <v>1. Teil bestanden:  ja  nein</v>
      </c>
      <c r="BJ99" s="177"/>
      <c r="BK99" s="146"/>
      <c r="BL99" s="254" t="str">
        <f>VLOOKUP(CONCATENATE("13",Konfiguration_Configuration!$N$6),Daten!$B$5:$E$99,2,FALSE)</f>
        <v>1. Teil bestanden:  ja  nein</v>
      </c>
      <c r="BM99" s="177"/>
      <c r="BN99" s="146"/>
      <c r="BO99" s="254" t="str">
        <f>VLOOKUP(CONCATENATE("13",Konfiguration_Configuration!$N$6),Daten!$B$5:$E$99,2,FALSE)</f>
        <v>1. Teil bestanden:  ja  nein</v>
      </c>
      <c r="BP99" s="177"/>
      <c r="BQ99" s="146"/>
      <c r="BT99" s="58"/>
    </row>
    <row r="100" spans="1:73" ht="27.75" customHeight="1">
      <c r="A100" s="374" t="str">
        <f>Lizenzvermerk</f>
        <v>Version 1.3;
06.01.2024</v>
      </c>
      <c r="B100" s="370"/>
      <c r="C100" s="370"/>
      <c r="E100" s="375" t="str">
        <f>VLOOKUP(CONCATENATE("56",Konfiguration_Configuration!N$6),Daten!B$5:E$99,2,FALSE)</f>
        <v>Unterschrift des Preisrichters __________________________________</v>
      </c>
      <c r="F100" s="376"/>
      <c r="G100" s="376"/>
      <c r="H100" s="376"/>
      <c r="I100" s="376"/>
      <c r="J100" s="376"/>
      <c r="K100" s="376"/>
      <c r="L100" s="376"/>
      <c r="M100" s="376"/>
      <c r="N100" s="376"/>
      <c r="O100" s="376"/>
      <c r="S100" s="374" t="str">
        <f>Lizenzvermerk</f>
        <v>Version 1.3;
06.01.2024</v>
      </c>
      <c r="T100" s="370"/>
      <c r="U100" s="370"/>
      <c r="W100" s="375" t="str">
        <f>VLOOKUP(CONCATENATE("56",Konfiguration_Configuration!N$6),Daten!B$5:E$99,2,FALSE)</f>
        <v>Unterschrift des Preisrichters __________________________________</v>
      </c>
      <c r="X100" s="376"/>
      <c r="Y100" s="376"/>
      <c r="Z100" s="376"/>
      <c r="AA100" s="376"/>
      <c r="AB100" s="376"/>
      <c r="AC100" s="376"/>
      <c r="AD100" s="376"/>
      <c r="AE100" s="376"/>
      <c r="AF100" s="376"/>
      <c r="AG100" s="376"/>
      <c r="AJ100" s="374" t="str">
        <f>Lizenzvermerk</f>
        <v>Version 1.3;
06.01.2024</v>
      </c>
      <c r="AK100" s="370"/>
      <c r="AL100" s="370"/>
      <c r="AN100" s="375" t="str">
        <f>VLOOKUP(CONCATENATE("56",Konfiguration_Configuration!N$6),Daten!B$5:E$99,2,FALSE)</f>
        <v>Unterschrift des Preisrichters __________________________________</v>
      </c>
      <c r="AO100" s="376"/>
      <c r="AP100" s="376"/>
      <c r="AQ100" s="376"/>
      <c r="AR100" s="376"/>
      <c r="AS100" s="376"/>
      <c r="AT100" s="376"/>
      <c r="AU100" s="376"/>
      <c r="AV100" s="376"/>
      <c r="AW100" s="376"/>
      <c r="AX100" s="376"/>
      <c r="BA100" s="374" t="str">
        <f>Lizenzvermerk</f>
        <v>Version 1.3;
06.01.2024</v>
      </c>
      <c r="BB100" s="370"/>
      <c r="BC100" s="370"/>
      <c r="BE100" s="375" t="str">
        <f>VLOOKUP(CONCATENATE("56",Konfiguration_Configuration!N$6),Daten!B$5:E$99,2,FALSE)</f>
        <v>Unterschrift des Preisrichters __________________________________</v>
      </c>
      <c r="BF100" s="376"/>
      <c r="BG100" s="376"/>
      <c r="BH100" s="376"/>
      <c r="BI100" s="376"/>
      <c r="BJ100" s="376"/>
      <c r="BK100" s="376"/>
      <c r="BL100" s="376"/>
      <c r="BM100" s="376"/>
      <c r="BN100" s="376"/>
      <c r="BO100" s="376"/>
    </row>
    <row r="101" spans="1:73" s="17" customFormat="1" ht="24.9" customHeight="1">
      <c r="A101" s="193"/>
      <c r="B101" s="121"/>
      <c r="C101" s="121"/>
      <c r="D101" s="121"/>
      <c r="E101" s="122"/>
      <c r="F101" s="122"/>
      <c r="K101" s="123"/>
      <c r="L101" s="123"/>
      <c r="S101" s="121"/>
      <c r="T101" s="121"/>
      <c r="AJ101" s="121"/>
      <c r="AK101" s="121"/>
      <c r="BA101" s="121"/>
      <c r="BB101" s="121"/>
      <c r="BS101" s="26"/>
      <c r="BT101" s="26"/>
    </row>
    <row r="102" spans="1:73" s="18" customFormat="1" ht="15.75" customHeight="1">
      <c r="A102" s="114"/>
      <c r="B102" s="114"/>
      <c r="C102" s="114"/>
      <c r="D102" s="125" t="s">
        <v>197</v>
      </c>
      <c r="E102" s="125"/>
      <c r="F102" s="125"/>
      <c r="S102" s="114"/>
      <c r="T102" s="114"/>
      <c r="AJ102" s="114"/>
      <c r="AK102" s="114"/>
      <c r="BA102" s="114"/>
      <c r="BB102" s="114"/>
      <c r="BS102" s="55"/>
      <c r="BT102" s="55"/>
    </row>
    <row r="103" spans="1:73" ht="15.6">
      <c r="A103" s="126" t="str">
        <f>Konfiguration_Configuration!E$3</f>
        <v>Testname</v>
      </c>
      <c r="B103" s="127" t="str">
        <f>IF(Konfiguration_Configuration!$B$3="","",Konfiguration_Configuration!$B$3)</f>
        <v>SIS Inter-Bronze Stiltest</v>
      </c>
      <c r="C103" s="127"/>
      <c r="D103" s="127"/>
      <c r="E103" s="126"/>
      <c r="F103" s="126"/>
      <c r="G103" s="128" t="str">
        <f>Konfiguration_Configuration!J$12</f>
        <v>SchiedsrichterIn</v>
      </c>
      <c r="H103" s="178" t="str">
        <f>IF(Konfiguration_Configuration!$B$12="","",Konfiguration_Configuration!$B$12)&amp;IF(Konfiguration_Configuration!$E$12="","",", "&amp;Konfiguration_Configuration!$E$12)&amp;IF(Konfiguration_Configuration!$H$12="","",CONCATENATE(" (",Konfiguration_Configuration!$H$11," ",Konfiguration_Configuration!$H$12&amp;")"))</f>
        <v/>
      </c>
      <c r="I103" s="178"/>
      <c r="J103" s="178"/>
      <c r="S103" s="127" t="str">
        <f>IF(Konfiguration_Configuration!$B$3="","",Konfiguration_Configuration!$B$3)</f>
        <v>SIS Inter-Bronze Stiltest</v>
      </c>
      <c r="T103" s="127"/>
      <c r="U103" s="147"/>
      <c r="V103" s="147"/>
      <c r="X103" s="128" t="str">
        <f>Konfiguration_Configuration!$J$12</f>
        <v>SchiedsrichterIn</v>
      </c>
      <c r="Y103" s="178" t="str">
        <f>H103</f>
        <v/>
      </c>
      <c r="Z103" s="178"/>
      <c r="AA103" s="178"/>
      <c r="AJ103" s="127" t="str">
        <f>IF(Konfiguration_Configuration!$B$3="","",Konfiguration_Configuration!$B$3)</f>
        <v>SIS Inter-Bronze Stiltest</v>
      </c>
      <c r="AK103" s="127"/>
      <c r="AL103" s="147"/>
      <c r="AM103" s="147"/>
      <c r="AO103" s="128" t="str">
        <f>Konfiguration_Configuration!$J$12</f>
        <v>SchiedsrichterIn</v>
      </c>
      <c r="AP103" s="178" t="str">
        <f>H103</f>
        <v/>
      </c>
      <c r="AQ103" s="178"/>
      <c r="AR103" s="178"/>
      <c r="BA103" s="127" t="str">
        <f>IF(Konfiguration_Configuration!$B$3="","",Konfiguration_Configuration!$B$3)</f>
        <v>SIS Inter-Bronze Stiltest</v>
      </c>
      <c r="BB103" s="127"/>
      <c r="BC103" s="147"/>
      <c r="BD103" s="147"/>
      <c r="BF103" s="128" t="str">
        <f>Konfiguration_Configuration!$J$12</f>
        <v>SchiedsrichterIn</v>
      </c>
      <c r="BG103" s="178" t="str">
        <f>H103</f>
        <v/>
      </c>
      <c r="BH103" s="178"/>
      <c r="BI103"/>
    </row>
    <row r="104" spans="1:73" ht="15" customHeight="1">
      <c r="A104" s="126" t="str">
        <f>Konfiguration_Configuration!E$4</f>
        <v>Austragungsort</v>
      </c>
      <c r="B104" s="127" t="str">
        <f>IF(Konfiguration_Configuration!$B$4="","",Konfiguration_Configuration!$B$4)</f>
        <v/>
      </c>
      <c r="C104" s="127"/>
      <c r="D104" s="127"/>
      <c r="E104" s="126"/>
      <c r="F104" s="126"/>
      <c r="G104" s="252" t="str">
        <f>Konfiguration_Configuration!J$13</f>
        <v>PreisrichterIn 2</v>
      </c>
      <c r="H104" s="178" t="str">
        <f>IF(Konfiguration_Configuration!$B$13="","",Konfiguration_Configuration!$B$13)&amp;IF(Konfiguration_Configuration!$E$13="","",", "&amp;Konfiguration_Configuration!$E$13)&amp;IF(Konfiguration_Configuration!$H$13="","",CONCATENATE(" (",Konfiguration_Configuration!$H$11," ",Konfiguration_Configuration!$H$13&amp;")"))</f>
        <v/>
      </c>
      <c r="I104" s="178"/>
      <c r="J104" s="178"/>
      <c r="S104" s="127" t="str">
        <f>IF(Konfiguration_Configuration!$B$4="","",Konfiguration_Configuration!$B$4)</f>
        <v/>
      </c>
      <c r="T104" s="127"/>
      <c r="U104" s="147"/>
      <c r="V104" s="147"/>
      <c r="X104" s="252" t="str">
        <f>Konfiguration_Configuration!$J$13</f>
        <v>PreisrichterIn 2</v>
      </c>
      <c r="Y104" s="178" t="str">
        <f t="shared" ref="Y104:Y106" si="10">H104</f>
        <v/>
      </c>
      <c r="Z104" s="178"/>
      <c r="AA104" s="178"/>
      <c r="AJ104" s="127" t="str">
        <f>IF(Konfiguration_Configuration!$B$4="","",Konfiguration_Configuration!$B$4)</f>
        <v/>
      </c>
      <c r="AK104" s="127"/>
      <c r="AL104" s="147"/>
      <c r="AM104" s="147"/>
      <c r="AO104" s="252" t="str">
        <f>Konfiguration_Configuration!$J$13</f>
        <v>PreisrichterIn 2</v>
      </c>
      <c r="AP104" s="178" t="str">
        <f t="shared" ref="AP104:AP106" si="11">H104</f>
        <v/>
      </c>
      <c r="AQ104" s="178"/>
      <c r="AR104" s="178"/>
      <c r="BA104" s="127" t="str">
        <f>IF(Konfiguration_Configuration!$B$4="","",Konfiguration_Configuration!$B$4)</f>
        <v/>
      </c>
      <c r="BB104" s="127"/>
      <c r="BC104" s="147"/>
      <c r="BD104" s="147"/>
      <c r="BF104" s="252" t="str">
        <f>Konfiguration_Configuration!$J$13</f>
        <v>PreisrichterIn 2</v>
      </c>
      <c r="BG104" s="178" t="str">
        <f t="shared" ref="BG104:BG106" si="12">H104</f>
        <v/>
      </c>
      <c r="BH104" s="178"/>
      <c r="BI104"/>
      <c r="BS104" s="56"/>
      <c r="BT104" s="56"/>
      <c r="BU104" s="130"/>
    </row>
    <row r="105" spans="1:73" ht="15.6">
      <c r="A105" s="126" t="str">
        <f>Konfiguration_Configuration!E$5</f>
        <v>Datum</v>
      </c>
      <c r="B105" s="364" t="str">
        <f>IF(Konfiguration_Configuration!$B$5="","",Konfiguration_Configuration!$B$5)</f>
        <v/>
      </c>
      <c r="C105" s="357"/>
      <c r="D105" s="127"/>
      <c r="E105" s="126"/>
      <c r="F105" s="126"/>
      <c r="G105" s="128" t="str">
        <f>Konfiguration_Configuration!J$14</f>
        <v>PreisrichterIn 3</v>
      </c>
      <c r="H105" s="178" t="str">
        <f>IF(Konfiguration_Configuration!$B$14="","",Konfiguration_Configuration!$B$14)&amp;IF(Konfiguration_Configuration!$E$14="","",", "&amp;Konfiguration_Configuration!$E$14)&amp;IF(Konfiguration_Configuration!$H$14="","",CONCATENATE(" (",Konfiguration_Configuration!$H$11," ",Konfiguration_Configuration!$H$14&amp;")"))</f>
        <v/>
      </c>
      <c r="I105" s="178"/>
      <c r="J105" s="178"/>
      <c r="S105" s="356" t="str">
        <f>IF(Konfiguration_Configuration!$B$5="","",Konfiguration_Configuration!$B$5)</f>
        <v/>
      </c>
      <c r="T105" s="357"/>
      <c r="U105" s="147"/>
      <c r="V105" s="147"/>
      <c r="X105" s="128" t="str">
        <f>Konfiguration_Configuration!$J$14</f>
        <v>PreisrichterIn 3</v>
      </c>
      <c r="Y105" s="178" t="str">
        <f t="shared" si="10"/>
        <v/>
      </c>
      <c r="Z105" s="178"/>
      <c r="AA105" s="178"/>
      <c r="AJ105" s="356" t="str">
        <f>IF(Konfiguration_Configuration!$B$5="","",Konfiguration_Configuration!$B$5)</f>
        <v/>
      </c>
      <c r="AK105" s="357"/>
      <c r="AL105" s="147"/>
      <c r="AM105" s="147"/>
      <c r="AO105" s="128" t="str">
        <f>Konfiguration_Configuration!$J$14</f>
        <v>PreisrichterIn 3</v>
      </c>
      <c r="AP105" s="178" t="str">
        <f t="shared" si="11"/>
        <v/>
      </c>
      <c r="AQ105" s="178"/>
      <c r="AR105" s="178"/>
      <c r="BA105" s="356" t="str">
        <f>IF(Konfiguration_Configuration!$B$5="","",Konfiguration_Configuration!$B$5)</f>
        <v/>
      </c>
      <c r="BB105" s="357"/>
      <c r="BC105" s="147"/>
      <c r="BD105" s="147"/>
      <c r="BF105" s="128" t="str">
        <f>Konfiguration_Configuration!$J$14</f>
        <v>PreisrichterIn 3</v>
      </c>
      <c r="BG105" s="178" t="str">
        <f t="shared" si="12"/>
        <v/>
      </c>
      <c r="BH105" s="178"/>
      <c r="BI105"/>
      <c r="BT105" s="56"/>
      <c r="BU105" s="130"/>
    </row>
    <row r="106" spans="1:73" ht="15.6">
      <c r="A106" s="126" t="str">
        <f>Konfiguration_Configuration!E$6</f>
        <v>Testklasse</v>
      </c>
      <c r="B106" s="127">
        <f>IF(Konfiguration_Configuration!$B$6="","",Konfiguration_Configuration!$B$6)</f>
        <v>6</v>
      </c>
      <c r="C106" s="127"/>
      <c r="D106" s="127"/>
      <c r="E106" s="126"/>
      <c r="F106" s="126"/>
      <c r="G106" s="128" t="str">
        <f>Konfiguration_Configuration!J$15</f>
        <v>Verantwortliche/r der Tests</v>
      </c>
      <c r="H106" s="178" t="str">
        <f>IF(Konfiguration_Configuration!$B$15="","",Konfiguration_Configuration!$B$15)&amp;IF(Konfiguration_Configuration!$E$15="","",", "&amp;Konfiguration_Configuration!$E$15)&amp;IF(Konfiguration_Configuration!$H$15="","",CONCATENATE(" (",Konfiguration_Configuration!$H$11," ",Konfiguration_Configuration!$H$15&amp;")"))</f>
        <v/>
      </c>
      <c r="I106" s="178"/>
      <c r="J106" s="178"/>
      <c r="S106" s="127">
        <f>IF(Konfiguration_Configuration!$B$6="","",Konfiguration_Configuration!$B$6)</f>
        <v>6</v>
      </c>
      <c r="T106" s="127"/>
      <c r="U106" s="147"/>
      <c r="V106" s="147"/>
      <c r="X106" s="128" t="str">
        <f>Konfiguration_Configuration!$J$15</f>
        <v>Verantwortliche/r der Tests</v>
      </c>
      <c r="Y106" s="178" t="str">
        <f t="shared" si="10"/>
        <v/>
      </c>
      <c r="Z106" s="178"/>
      <c r="AA106" s="178"/>
      <c r="AJ106" s="127">
        <f>IF(Konfiguration_Configuration!$B$6="","",Konfiguration_Configuration!$B$6)</f>
        <v>6</v>
      </c>
      <c r="AK106" s="127"/>
      <c r="AL106" s="147"/>
      <c r="AM106" s="147"/>
      <c r="AO106" s="128" t="str">
        <f>Konfiguration_Configuration!$J$15</f>
        <v>Verantwortliche/r der Tests</v>
      </c>
      <c r="AP106" s="178" t="str">
        <f t="shared" si="11"/>
        <v/>
      </c>
      <c r="AQ106" s="178"/>
      <c r="AR106" s="178"/>
      <c r="BA106" s="127">
        <f>IF(Konfiguration_Configuration!$B$6="","",Konfiguration_Configuration!$B$6)</f>
        <v>6</v>
      </c>
      <c r="BB106" s="127"/>
      <c r="BC106" s="147"/>
      <c r="BD106" s="147"/>
      <c r="BF106" s="128" t="str">
        <f>Konfiguration_Configuration!$J$15</f>
        <v>Verantwortliche/r der Tests</v>
      </c>
      <c r="BG106" s="178" t="str">
        <f t="shared" si="12"/>
        <v/>
      </c>
      <c r="BH106" s="178"/>
      <c r="BI106"/>
      <c r="BT106" s="56"/>
      <c r="BU106" s="130"/>
    </row>
    <row r="107" spans="1:73" ht="15" customHeight="1" collapsed="1">
      <c r="A107" s="124"/>
      <c r="B107" s="124"/>
      <c r="C107" s="124"/>
      <c r="D107" s="126"/>
      <c r="E107" s="126"/>
      <c r="F107" s="126"/>
      <c r="G107" s="128"/>
      <c r="H107" s="128"/>
      <c r="I107" s="128"/>
      <c r="Q107" s="157"/>
      <c r="R107" s="157"/>
      <c r="S107" s="124"/>
      <c r="T107" s="124"/>
      <c r="AH107" s="157"/>
      <c r="AI107" s="157"/>
      <c r="AJ107" s="124"/>
      <c r="AK107" s="124"/>
      <c r="AY107" s="171"/>
      <c r="BA107" s="124"/>
      <c r="BB107" s="124"/>
      <c r="BP107" s="157"/>
      <c r="BQ107" s="157"/>
      <c r="BT107" s="56"/>
      <c r="BU107" s="130"/>
    </row>
    <row r="108" spans="1:73" s="54" customFormat="1" ht="15" hidden="1" customHeight="1" outlineLevel="1">
      <c r="A108" s="57" t="s">
        <v>198</v>
      </c>
      <c r="B108" s="57"/>
      <c r="C108" s="57" t="s">
        <v>199</v>
      </c>
      <c r="D108" s="57" t="s">
        <v>200</v>
      </c>
      <c r="E108" s="57"/>
      <c r="F108" s="57"/>
      <c r="G108" s="57" t="s">
        <v>201</v>
      </c>
      <c r="H108" s="57"/>
      <c r="I108" s="57"/>
      <c r="J108" s="57" t="s">
        <v>202</v>
      </c>
      <c r="K108" s="57"/>
      <c r="L108" s="57"/>
      <c r="M108" s="57" t="s">
        <v>203</v>
      </c>
      <c r="N108" s="57"/>
      <c r="O108" s="57"/>
      <c r="P108" s="57" t="s">
        <v>204</v>
      </c>
      <c r="Q108" s="57"/>
      <c r="R108" s="57"/>
      <c r="S108" s="57"/>
      <c r="T108" s="57"/>
      <c r="U108" s="57" t="s">
        <v>205</v>
      </c>
      <c r="V108" s="57"/>
      <c r="W108" s="57"/>
      <c r="X108" s="57" t="s">
        <v>206</v>
      </c>
      <c r="Y108" s="57"/>
      <c r="Z108" s="57"/>
      <c r="AA108" s="57" t="s">
        <v>207</v>
      </c>
      <c r="AB108" s="57"/>
      <c r="AC108" s="57"/>
      <c r="AD108" s="57" t="s">
        <v>208</v>
      </c>
      <c r="AE108" s="57"/>
      <c r="AF108" s="57"/>
      <c r="AG108" s="57" t="s">
        <v>209</v>
      </c>
      <c r="AH108" s="57"/>
      <c r="AI108" s="57"/>
      <c r="AL108" s="57" t="s">
        <v>210</v>
      </c>
      <c r="AM108" s="57"/>
      <c r="AN108" s="57"/>
      <c r="AO108" s="57" t="s">
        <v>211</v>
      </c>
      <c r="AP108" s="57"/>
      <c r="AQ108" s="57"/>
      <c r="AR108" s="57" t="s">
        <v>212</v>
      </c>
      <c r="AS108" s="57"/>
      <c r="AT108" s="57"/>
      <c r="AU108" s="57" t="s">
        <v>213</v>
      </c>
      <c r="AV108" s="57"/>
      <c r="AW108" s="57"/>
      <c r="AX108" s="57" t="s">
        <v>214</v>
      </c>
      <c r="AY108" s="57"/>
      <c r="AZ108" s="57"/>
      <c r="BC108" s="57" t="s">
        <v>215</v>
      </c>
      <c r="BD108" s="57"/>
      <c r="BE108" s="57"/>
      <c r="BF108" s="57" t="s">
        <v>216</v>
      </c>
      <c r="BG108" s="57"/>
      <c r="BH108" s="57"/>
      <c r="BI108" s="57" t="s">
        <v>217</v>
      </c>
      <c r="BJ108" s="57"/>
      <c r="BK108" s="57"/>
      <c r="BL108" s="57" t="s">
        <v>218</v>
      </c>
      <c r="BM108" s="57"/>
      <c r="BN108" s="57"/>
      <c r="BO108" s="57" t="s">
        <v>219</v>
      </c>
      <c r="BP108" s="85"/>
      <c r="BQ108" s="85"/>
    </row>
    <row r="109" spans="1:73" s="54" customFormat="1" ht="15" hidden="1" customHeight="1" outlineLevel="1">
      <c r="A109" s="57" t="s">
        <v>220</v>
      </c>
      <c r="B109" s="70"/>
      <c r="C109" s="182" t="s">
        <v>221</v>
      </c>
      <c r="D109" s="182" t="s">
        <v>222</v>
      </c>
      <c r="E109" s="70"/>
      <c r="F109" s="70"/>
      <c r="G109" s="182" t="s">
        <v>223</v>
      </c>
      <c r="H109" s="70"/>
      <c r="I109" s="70"/>
      <c r="J109" s="182" t="s">
        <v>224</v>
      </c>
      <c r="K109" s="70"/>
      <c r="L109" s="70"/>
      <c r="M109" s="182" t="s">
        <v>225</v>
      </c>
      <c r="N109" s="70"/>
      <c r="O109" s="70"/>
      <c r="P109" s="182" t="s">
        <v>226</v>
      </c>
      <c r="Q109" s="70"/>
      <c r="R109" s="70"/>
      <c r="U109" s="182" t="s">
        <v>227</v>
      </c>
      <c r="V109" s="70"/>
      <c r="W109" s="70"/>
      <c r="X109" s="182" t="s">
        <v>228</v>
      </c>
      <c r="Y109" s="70"/>
      <c r="Z109" s="70"/>
      <c r="AA109" s="182" t="s">
        <v>229</v>
      </c>
      <c r="AB109" s="70"/>
      <c r="AC109" s="70"/>
      <c r="AD109" s="182" t="s">
        <v>230</v>
      </c>
      <c r="AE109" s="70"/>
      <c r="AF109" s="70"/>
      <c r="AG109" s="182" t="s">
        <v>231</v>
      </c>
      <c r="AH109" s="70"/>
      <c r="AI109" s="70"/>
      <c r="AL109" s="182" t="s">
        <v>232</v>
      </c>
      <c r="AM109" s="70"/>
      <c r="AN109" s="70"/>
      <c r="AO109" s="182" t="s">
        <v>233</v>
      </c>
      <c r="AP109" s="70"/>
      <c r="AQ109" s="70"/>
      <c r="AR109" s="182" t="s">
        <v>234</v>
      </c>
      <c r="AS109" s="70"/>
      <c r="AT109" s="70"/>
      <c r="AU109" s="182" t="s">
        <v>235</v>
      </c>
      <c r="AV109" s="70"/>
      <c r="AW109" s="70"/>
      <c r="AX109" s="182" t="s">
        <v>236</v>
      </c>
      <c r="AY109" s="70"/>
      <c r="AZ109" s="70"/>
      <c r="BC109" s="182" t="s">
        <v>237</v>
      </c>
      <c r="BD109" s="70"/>
      <c r="BE109" s="70"/>
      <c r="BF109" s="182" t="s">
        <v>238</v>
      </c>
      <c r="BG109" s="70"/>
      <c r="BH109" s="70"/>
      <c r="BI109" s="182" t="s">
        <v>239</v>
      </c>
      <c r="BJ109" s="70"/>
      <c r="BK109" s="70"/>
      <c r="BL109" s="182" t="s">
        <v>240</v>
      </c>
      <c r="BM109" s="70"/>
      <c r="BN109" s="70"/>
      <c r="BO109" s="182" t="s">
        <v>241</v>
      </c>
      <c r="BP109" s="115"/>
      <c r="BQ109" s="115"/>
    </row>
    <row r="110" spans="1:73" ht="15" customHeight="1">
      <c r="D110" s="156" t="str">
        <f>IF(Konfiguration_Configuration!$B$2=Konfiguration_Configuration!$L$1,'Notizenblatt_Feuille de juge'!D108,'Notizenblatt_Feuille de juge'!D109)</f>
        <v>TN1</v>
      </c>
      <c r="E110" s="156"/>
      <c r="F110" s="156"/>
      <c r="G110" s="156" t="str">
        <f>IF(Konfiguration_Configuration!$B$2=Konfiguration_Configuration!$L$1,'Notizenblatt_Feuille de juge'!G108,'Notizenblatt_Feuille de juge'!G109)</f>
        <v>TN2</v>
      </c>
      <c r="H110" s="156"/>
      <c r="I110" s="156"/>
      <c r="J110" s="156" t="str">
        <f>IF(Konfiguration_Configuration!$B$2=Konfiguration_Configuration!$L$1,'Notizenblatt_Feuille de juge'!J108,'Notizenblatt_Feuille de juge'!J109)</f>
        <v>TN3</v>
      </c>
      <c r="K110" s="156"/>
      <c r="L110" s="156"/>
      <c r="M110" s="156" t="str">
        <f>IF(Konfiguration_Configuration!$B$2=Konfiguration_Configuration!$L$1,'Notizenblatt_Feuille de juge'!M108,'Notizenblatt_Feuille de juge'!M109)</f>
        <v>TN4</v>
      </c>
      <c r="N110" s="156"/>
      <c r="O110" s="156"/>
      <c r="P110" s="156" t="str">
        <f>IF(Konfiguration_Configuration!$B$2=Konfiguration_Configuration!$L$1,'Notizenblatt_Feuille de juge'!P108,'Notizenblatt_Feuille de juge'!P109)</f>
        <v>TN5</v>
      </c>
      <c r="Q110" s="156"/>
      <c r="R110" s="156"/>
      <c r="U110" s="156" t="str">
        <f>IF(Konfiguration_Configuration!$B$2=Konfiguration_Configuration!$L$1,'Notizenblatt_Feuille de juge'!U108,'Notizenblatt_Feuille de juge'!U109)</f>
        <v>TN6</v>
      </c>
      <c r="V110" s="156"/>
      <c r="W110" s="156"/>
      <c r="X110" s="156" t="str">
        <f>IF(Konfiguration_Configuration!$B$2=Konfiguration_Configuration!$L$1,'Notizenblatt_Feuille de juge'!X108,'Notizenblatt_Feuille de juge'!X109)</f>
        <v>TN7</v>
      </c>
      <c r="Y110" s="156"/>
      <c r="Z110" s="156"/>
      <c r="AA110" s="156" t="str">
        <f>IF(Konfiguration_Configuration!$B$2=Konfiguration_Configuration!$L$1,'Notizenblatt_Feuille de juge'!AA108,'Notizenblatt_Feuille de juge'!AA109)</f>
        <v>TN8</v>
      </c>
      <c r="AB110" s="156"/>
      <c r="AC110" s="156"/>
      <c r="AD110" s="156" t="str">
        <f>IF(Konfiguration_Configuration!$B$2=Konfiguration_Configuration!$L$1,'Notizenblatt_Feuille de juge'!AD108,'Notizenblatt_Feuille de juge'!AD109)</f>
        <v>TN9</v>
      </c>
      <c r="AE110" s="156"/>
      <c r="AF110" s="156"/>
      <c r="AG110" s="156" t="str">
        <f>IF(Konfiguration_Configuration!$B$2=Konfiguration_Configuration!$L$1,'Notizenblatt_Feuille de juge'!AG108,'Notizenblatt_Feuille de juge'!AG109)</f>
        <v>TN10</v>
      </c>
      <c r="AH110" s="156"/>
      <c r="AI110" s="156"/>
      <c r="AL110" s="156" t="str">
        <f>IF(Konfiguration_Configuration!$B$2=Konfiguration_Configuration!$L$1,'Notizenblatt_Feuille de juge'!AL108,'Notizenblatt_Feuille de juge'!AL109)</f>
        <v>TN11</v>
      </c>
      <c r="AM110" s="156"/>
      <c r="AN110" s="156"/>
      <c r="AO110" s="156" t="str">
        <f>IF(Konfiguration_Configuration!$B$2=Konfiguration_Configuration!$L$1,'Notizenblatt_Feuille de juge'!AO108,'Notizenblatt_Feuille de juge'!AO109)</f>
        <v>TN12</v>
      </c>
      <c r="AP110" s="156"/>
      <c r="AQ110" s="156"/>
      <c r="AR110" s="156" t="str">
        <f>IF(Konfiguration_Configuration!$B$2=Konfiguration_Configuration!$L$1,'Notizenblatt_Feuille de juge'!AR108,'Notizenblatt_Feuille de juge'!AR109)</f>
        <v>TN13</v>
      </c>
      <c r="AS110" s="156"/>
      <c r="AT110" s="156"/>
      <c r="AU110" s="156" t="str">
        <f>IF(Konfiguration_Configuration!$B$2=Konfiguration_Configuration!$L$1,'Notizenblatt_Feuille de juge'!AU108,'Notizenblatt_Feuille de juge'!AU109)</f>
        <v>TN14</v>
      </c>
      <c r="AV110" s="156"/>
      <c r="AW110" s="156"/>
      <c r="AX110" s="156" t="str">
        <f>IF(Konfiguration_Configuration!$B$2=Konfiguration_Configuration!$L$1,'Notizenblatt_Feuille de juge'!AX108,'Notizenblatt_Feuille de juge'!AX109)</f>
        <v>TN15</v>
      </c>
      <c r="AY110" s="156"/>
      <c r="AZ110" s="156"/>
      <c r="BC110" s="156" t="str">
        <f>IF(Konfiguration_Configuration!$B$2=Konfiguration_Configuration!$L$1,'Notizenblatt_Feuille de juge'!BC108,'Notizenblatt_Feuille de juge'!BC109)</f>
        <v>TN16</v>
      </c>
      <c r="BD110" s="156"/>
      <c r="BE110" s="156"/>
      <c r="BF110" s="156" t="str">
        <f>IF(Konfiguration_Configuration!$B$2=Konfiguration_Configuration!$L$1,'Notizenblatt_Feuille de juge'!BF108,'Notizenblatt_Feuille de juge'!BF109)</f>
        <v>TN17</v>
      </c>
      <c r="BG110" s="156"/>
      <c r="BH110" s="156"/>
      <c r="BI110" s="156" t="str">
        <f>IF(Konfiguration_Configuration!$B$2=Konfiguration_Configuration!$L$1,'Notizenblatt_Feuille de juge'!BI108,'Notizenblatt_Feuille de juge'!BI109)</f>
        <v>TN18</v>
      </c>
      <c r="BJ110" s="156"/>
      <c r="BK110" s="156"/>
      <c r="BL110" s="156" t="str">
        <f>IF(Konfiguration_Configuration!$B$2=Konfiguration_Configuration!$L$1,'Notizenblatt_Feuille de juge'!BL108,'Notizenblatt_Feuille de juge'!BL109)</f>
        <v>TN19</v>
      </c>
      <c r="BM110" s="156"/>
      <c r="BN110" s="156"/>
      <c r="BO110" s="156" t="str">
        <f>IF(Konfiguration_Configuration!$B$2=Konfiguration_Configuration!$L$1,'Notizenblatt_Feuille de juge'!BO108,'Notizenblatt_Feuille de juge'!BO109)</f>
        <v>TN20</v>
      </c>
      <c r="BP110" s="156"/>
      <c r="BQ110" s="156"/>
    </row>
    <row r="111" spans="1:73" ht="21" customHeight="1">
      <c r="A111" s="148"/>
      <c r="B111" s="172" t="str">
        <f>Konfiguration_Configuration!B$21</f>
        <v>Name</v>
      </c>
      <c r="C111" s="159"/>
      <c r="D111" s="173" t="str">
        <f>IF(Konfiguration_Configuration!$B$22="","",Konfiguration_Configuration!$B$22)</f>
        <v/>
      </c>
      <c r="E111" s="173"/>
      <c r="F111" s="174"/>
      <c r="G111" s="162" t="str">
        <f>IF(Konfiguration_Configuration!$B$23="","",Konfiguration_Configuration!$B$23)</f>
        <v/>
      </c>
      <c r="H111" s="163"/>
      <c r="I111" s="164"/>
      <c r="J111" s="162" t="str">
        <f>IF(Konfiguration_Configuration!$B$24="","",Konfiguration_Configuration!$B$24)</f>
        <v/>
      </c>
      <c r="K111" s="163"/>
      <c r="L111" s="164"/>
      <c r="M111" s="162" t="str">
        <f>IF(Konfiguration_Configuration!$B$25="","",Konfiguration_Configuration!$B$25)</f>
        <v/>
      </c>
      <c r="N111" s="163"/>
      <c r="O111" s="164"/>
      <c r="P111" s="162" t="str">
        <f>IF(Konfiguration_Configuration!$B$26="","",Konfiguration_Configuration!$B$26)</f>
        <v/>
      </c>
      <c r="Q111" s="163"/>
      <c r="R111" s="164"/>
      <c r="S111" s="158" t="str">
        <f>B111</f>
        <v>Name</v>
      </c>
      <c r="T111" s="159"/>
      <c r="U111" s="162" t="str">
        <f>IF(Konfiguration_Configuration!$B$27="","",Konfiguration_Configuration!$B$27)</f>
        <v/>
      </c>
      <c r="V111" s="163"/>
      <c r="W111" s="164"/>
      <c r="X111" s="162" t="str">
        <f>IF(Konfiguration_Configuration!$B$28="","",Konfiguration_Configuration!$B$28)</f>
        <v/>
      </c>
      <c r="Y111" s="163"/>
      <c r="Z111" s="164"/>
      <c r="AA111" s="162" t="str">
        <f>IF(Konfiguration_Configuration!$B$29="","",Konfiguration_Configuration!$B$29)</f>
        <v/>
      </c>
      <c r="AB111" s="163"/>
      <c r="AC111" s="164"/>
      <c r="AD111" s="162" t="str">
        <f>IF(Konfiguration_Configuration!$B$30="","",Konfiguration_Configuration!$B$30)</f>
        <v/>
      </c>
      <c r="AE111" s="163"/>
      <c r="AF111" s="164"/>
      <c r="AG111" s="162" t="str">
        <f>IF(Konfiguration_Configuration!$B$31="","",Konfiguration_Configuration!$B$31)</f>
        <v/>
      </c>
      <c r="AH111" s="163"/>
      <c r="AI111" s="164"/>
      <c r="AJ111" s="158" t="str">
        <f>B111</f>
        <v>Name</v>
      </c>
      <c r="AK111" s="159"/>
      <c r="AL111" s="162" t="str">
        <f>IF(Konfiguration_Configuration!$B$32="","",Konfiguration_Configuration!$B$32)</f>
        <v/>
      </c>
      <c r="AM111" s="163"/>
      <c r="AN111" s="164"/>
      <c r="AO111" s="162" t="str">
        <f>IF(Konfiguration_Configuration!$B$33="","",Konfiguration_Configuration!$B$33)</f>
        <v/>
      </c>
      <c r="AP111" s="163"/>
      <c r="AQ111" s="164"/>
      <c r="AR111" s="162" t="str">
        <f>IF(Konfiguration_Configuration!$B$34="","",Konfiguration_Configuration!$B$34)</f>
        <v/>
      </c>
      <c r="AS111" s="163"/>
      <c r="AT111" s="164"/>
      <c r="AU111" s="162" t="str">
        <f>IF(Konfiguration_Configuration!$B$35="","",Konfiguration_Configuration!$B$35)</f>
        <v/>
      </c>
      <c r="AV111" s="163"/>
      <c r="AW111" s="164"/>
      <c r="AX111" s="162" t="str">
        <f>IF(Konfiguration_Configuration!$B$36="","",Konfiguration_Configuration!$B$36)</f>
        <v/>
      </c>
      <c r="AY111" s="163"/>
      <c r="AZ111" s="164"/>
      <c r="BA111" s="158" t="str">
        <f>B111</f>
        <v>Name</v>
      </c>
      <c r="BB111" s="159"/>
      <c r="BC111" s="162" t="str">
        <f>IF(Konfiguration_Configuration!$B$37="","",Konfiguration_Configuration!$B$37)</f>
        <v/>
      </c>
      <c r="BD111" s="163"/>
      <c r="BE111" s="164"/>
      <c r="BF111" s="162" t="str">
        <f>IF(Konfiguration_Configuration!$B$38="","",Konfiguration_Configuration!$B$38)</f>
        <v/>
      </c>
      <c r="BG111" s="163"/>
      <c r="BH111" s="164"/>
      <c r="BI111" s="162" t="str">
        <f>IF(Konfiguration_Configuration!$B$39="","",Konfiguration_Configuration!$B$39)</f>
        <v/>
      </c>
      <c r="BJ111" s="163"/>
      <c r="BK111" s="164"/>
      <c r="BL111" s="162" t="str">
        <f>IF(Konfiguration_Configuration!$B$40="","",Konfiguration_Configuration!$B$40)</f>
        <v/>
      </c>
      <c r="BM111" s="163"/>
      <c r="BN111" s="164"/>
      <c r="BO111" s="162" t="str">
        <f>IF(Konfiguration_Configuration!$B$41="","",Konfiguration_Configuration!$B$41)</f>
        <v/>
      </c>
      <c r="BP111" s="163"/>
      <c r="BQ111" s="164"/>
    </row>
    <row r="112" spans="1:73" ht="25.5" customHeight="1">
      <c r="A112" s="131"/>
      <c r="B112" s="160" t="str">
        <f>Konfiguration_Configuration!E$11</f>
        <v>Klub</v>
      </c>
      <c r="C112" s="161"/>
      <c r="D112" s="179" t="str">
        <f>IF(Konfiguration_Configuration!$E$22="","",Konfiguration_Configuration!$E$22) &amp; IF(Konfiguration_Configuration!$H$22="",""," / " &amp; Konfiguration_Configuration!$H$22)</f>
        <v/>
      </c>
      <c r="E112" s="180"/>
      <c r="F112" s="181"/>
      <c r="G112" s="165" t="str">
        <f>IF(Konfiguration_Configuration!$E$23="","",Konfiguration_Configuration!$E$23) &amp; IF(Konfiguration_Configuration!$H$23="",""," / " &amp; Konfiguration_Configuration!$H$23)</f>
        <v/>
      </c>
      <c r="H112" s="166"/>
      <c r="I112" s="167"/>
      <c r="J112" s="165" t="str">
        <f>IF(Konfiguration_Configuration!$E$24="","",Konfiguration_Configuration!$E$24) &amp; IF(Konfiguration_Configuration!$H$24="",""," / " &amp; Konfiguration_Configuration!$H$24)</f>
        <v/>
      </c>
      <c r="K112" s="166"/>
      <c r="L112" s="167"/>
      <c r="M112" s="165" t="str">
        <f>IF(Konfiguration_Configuration!$E$25="","",Konfiguration_Configuration!$E$25) &amp; IF(Konfiguration_Configuration!$H$25="",""," / " &amp; Konfiguration_Configuration!$H$25)</f>
        <v/>
      </c>
      <c r="N112" s="166"/>
      <c r="O112" s="167"/>
      <c r="P112" s="165" t="str">
        <f>IF(Konfiguration_Configuration!$E$26="","",Konfiguration_Configuration!$E$26) &amp; IF(Konfiguration_Configuration!$H$26="",""," / " &amp; Konfiguration_Configuration!$H$26)</f>
        <v/>
      </c>
      <c r="Q112" s="166"/>
      <c r="R112" s="167"/>
      <c r="S112" s="160" t="str">
        <f>B112</f>
        <v>Klub</v>
      </c>
      <c r="T112" s="161"/>
      <c r="U112" s="165" t="str">
        <f>IF(Konfiguration_Configuration!$E$27="","",Konfiguration_Configuration!$E$27) &amp; IF(Konfiguration_Configuration!$H$27="",""," / " &amp; Konfiguration_Configuration!$H$27)</f>
        <v/>
      </c>
      <c r="V112" s="166"/>
      <c r="W112" s="167"/>
      <c r="X112" s="165" t="str">
        <f>IF(Konfiguration_Configuration!$E$28="","",Konfiguration_Configuration!$E$28) &amp; IF(Konfiguration_Configuration!$H$28="",""," / " &amp; Konfiguration_Configuration!$H$28)</f>
        <v/>
      </c>
      <c r="Y112" s="166"/>
      <c r="Z112" s="167"/>
      <c r="AA112" s="165" t="str">
        <f>IF(Konfiguration_Configuration!$E$29="","",Konfiguration_Configuration!$E$29) &amp; IF(Konfiguration_Configuration!$H$29="",""," / " &amp; Konfiguration_Configuration!$H$29)</f>
        <v/>
      </c>
      <c r="AB112" s="166"/>
      <c r="AC112" s="167"/>
      <c r="AD112" s="165" t="str">
        <f>IF(Konfiguration_Configuration!$E$30="","",Konfiguration_Configuration!$E$30) &amp; IF(Konfiguration_Configuration!$H$30="",""," / " &amp; Konfiguration_Configuration!$H$30)</f>
        <v/>
      </c>
      <c r="AE112" s="166"/>
      <c r="AF112" s="167"/>
      <c r="AG112" s="165" t="str">
        <f>IF(Konfiguration_Configuration!$E$31="","",Konfiguration_Configuration!$E$31) &amp; IF(Konfiguration_Configuration!$H$31="",""," / " &amp; Konfiguration_Configuration!$H$31)</f>
        <v/>
      </c>
      <c r="AH112" s="166"/>
      <c r="AI112" s="167"/>
      <c r="AJ112" s="160" t="str">
        <f>B112</f>
        <v>Klub</v>
      </c>
      <c r="AK112" s="161"/>
      <c r="AL112" s="165" t="str">
        <f>IF(Konfiguration_Configuration!$E$32="","",Konfiguration_Configuration!$E$32) &amp; IF(Konfiguration_Configuration!$H$32="",""," / " &amp; Konfiguration_Configuration!$H$32)</f>
        <v/>
      </c>
      <c r="AM112" s="166"/>
      <c r="AN112" s="167"/>
      <c r="AO112" s="165" t="str">
        <f>IF(Konfiguration_Configuration!$E$33="","",Konfiguration_Configuration!$E$33) &amp; IF(Konfiguration_Configuration!$H$33="",""," / " &amp; Konfiguration_Configuration!$H$33)</f>
        <v/>
      </c>
      <c r="AP112" s="166"/>
      <c r="AQ112" s="167"/>
      <c r="AR112" s="165" t="str">
        <f>IF(Konfiguration_Configuration!$E$34="","",Konfiguration_Configuration!$E$34) &amp; IF(Konfiguration_Configuration!$H$34="",""," / " &amp; Konfiguration_Configuration!$H$34)</f>
        <v/>
      </c>
      <c r="AS112" s="166"/>
      <c r="AT112" s="167"/>
      <c r="AU112" s="165" t="str">
        <f>IF(Konfiguration_Configuration!$E$35="","",Konfiguration_Configuration!$E$35) &amp; IF(Konfiguration_Configuration!$H$35="",""," / " &amp; Konfiguration_Configuration!$H$35)</f>
        <v/>
      </c>
      <c r="AV112" s="166"/>
      <c r="AW112" s="167"/>
      <c r="AX112" s="165" t="str">
        <f>IF(Konfiguration_Configuration!$E$36="","",Konfiguration_Configuration!$E$36) &amp; IF(Konfiguration_Configuration!$H$36="",""," / " &amp; Konfiguration_Configuration!$H$36)</f>
        <v/>
      </c>
      <c r="AY112" s="166"/>
      <c r="AZ112" s="167"/>
      <c r="BA112" s="160" t="str">
        <f>B112</f>
        <v>Klub</v>
      </c>
      <c r="BB112" s="161"/>
      <c r="BC112" s="165" t="str">
        <f>IF(Konfiguration_Configuration!$E$37="","",Konfiguration_Configuration!$E$37) &amp; IF(Konfiguration_Configuration!$H$37="",""," / " &amp; Konfiguration_Configuration!$H$37)</f>
        <v/>
      </c>
      <c r="BD112" s="166"/>
      <c r="BE112" s="167"/>
      <c r="BF112" s="165" t="str">
        <f>IF(Konfiguration_Configuration!$E$38="","",Konfiguration_Configuration!$E$38) &amp; IF(Konfiguration_Configuration!$H$38="",""," / " &amp; Konfiguration_Configuration!$H$38)</f>
        <v/>
      </c>
      <c r="BG112" s="166"/>
      <c r="BH112" s="167"/>
      <c r="BI112" s="165" t="str">
        <f>IF(Konfiguration_Configuration!$E$39="","",Konfiguration_Configuration!$E$39) &amp; IF(Konfiguration_Configuration!$H$39="",""," / " &amp; Konfiguration_Configuration!$H$39)</f>
        <v/>
      </c>
      <c r="BJ112" s="166"/>
      <c r="BK112" s="167"/>
      <c r="BL112" s="165" t="str">
        <f>IF(Konfiguration_Configuration!$E$40="","",Konfiguration_Configuration!$E$40) &amp; IF(Konfiguration_Configuration!$H$40="",""," / " &amp; Konfiguration_Configuration!$H$40)</f>
        <v/>
      </c>
      <c r="BM112" s="166"/>
      <c r="BN112" s="167"/>
      <c r="BO112" s="165" t="str">
        <f>IF(Konfiguration_Configuration!$E$41="","",Konfiguration_Configuration!$E$41) &amp; IF(Konfiguration_Configuration!$H$41="",""," / " &amp; Konfiguration_Configuration!$H$41)</f>
        <v/>
      </c>
      <c r="BP112" s="166"/>
      <c r="BQ112" s="167"/>
    </row>
    <row r="113" spans="1:72" ht="32.1" customHeight="1">
      <c r="A113" s="366" t="str">
        <f>VLOOKUP(CONCATENATE("21",Konfiguration_Configuration!$N$6),Daten!$B$5:$E$99,2,FALSE)</f>
        <v>Vorgeschriebene Schritte (TES)</v>
      </c>
      <c r="B113" s="367"/>
      <c r="C113" s="368"/>
      <c r="D113" s="373"/>
      <c r="E113" s="330"/>
      <c r="F113" s="330"/>
      <c r="G113" s="330"/>
      <c r="H113" s="330"/>
      <c r="I113" s="330"/>
      <c r="J113" s="330"/>
      <c r="K113" s="330"/>
      <c r="L113" s="330"/>
      <c r="M113" s="330"/>
      <c r="N113" s="330"/>
      <c r="O113" s="330"/>
      <c r="P113" s="330"/>
      <c r="Q113" s="330"/>
      <c r="R113" s="331"/>
      <c r="S113" s="169"/>
      <c r="T113" s="137"/>
      <c r="U113" s="135"/>
      <c r="V113" s="186"/>
      <c r="W113" s="212"/>
      <c r="X113" s="135"/>
      <c r="Y113" s="186"/>
      <c r="Z113" s="212"/>
      <c r="AA113" s="135"/>
      <c r="AB113" s="186"/>
      <c r="AC113" s="212"/>
      <c r="AD113" s="135"/>
      <c r="AE113" s="186"/>
      <c r="AF113" s="212"/>
      <c r="AG113" s="135"/>
      <c r="AH113" s="186"/>
      <c r="AI113" s="212"/>
      <c r="AJ113" s="169"/>
      <c r="AK113" s="137"/>
      <c r="AL113" s="135"/>
      <c r="AM113" s="186"/>
      <c r="AN113" s="212"/>
      <c r="AO113" s="135"/>
      <c r="AP113" s="186"/>
      <c r="AQ113" s="212"/>
      <c r="AR113" s="135"/>
      <c r="AS113" s="186"/>
      <c r="AT113" s="212"/>
      <c r="AU113" s="135"/>
      <c r="AV113" s="186"/>
      <c r="AW113" s="212"/>
      <c r="AX113" s="135"/>
      <c r="AY113" s="186"/>
      <c r="AZ113" s="212"/>
      <c r="BA113" s="169"/>
      <c r="BB113" s="137"/>
      <c r="BC113" s="135"/>
      <c r="BD113" s="186"/>
      <c r="BE113" s="212"/>
      <c r="BF113" s="135"/>
      <c r="BG113" s="186"/>
      <c r="BH113" s="212"/>
      <c r="BI113" s="135"/>
      <c r="BJ113" s="186"/>
      <c r="BK113" s="212"/>
      <c r="BL113" s="135"/>
      <c r="BM113" s="186"/>
      <c r="BN113" s="212"/>
      <c r="BO113" s="135"/>
      <c r="BP113" s="186"/>
      <c r="BQ113" s="212"/>
    </row>
    <row r="114" spans="1:72" ht="32.1" customHeight="1">
      <c r="A114" s="136" t="str">
        <f>CONCATENATE(LEFT(A$44,LEN(A$44)-6)," 1:")</f>
        <v>Vorgeschriebene Schritte 1:</v>
      </c>
      <c r="B114" s="168">
        <f>VLOOKUP(CONCATENATE("22",Konfiguration_Configuration!$N$6),Daten!$B$5:$E$99,3,FALSE)</f>
        <v>0.6</v>
      </c>
      <c r="C114" s="362"/>
      <c r="D114" s="358"/>
      <c r="E114" s="360"/>
      <c r="F114" s="190"/>
      <c r="G114" s="358"/>
      <c r="H114" s="360"/>
      <c r="I114" s="190"/>
      <c r="J114" s="358"/>
      <c r="K114" s="360"/>
      <c r="L114" s="190"/>
      <c r="M114" s="358"/>
      <c r="N114" s="360"/>
      <c r="O114" s="190"/>
      <c r="P114" s="358"/>
      <c r="Q114" s="360"/>
      <c r="R114" s="190"/>
      <c r="S114" s="168">
        <f>VLOOKUP(CONCATENATE("22",Konfiguration_Configuration!$N$6),Daten!$B$5:$E$99,3,FALSE)</f>
        <v>0.6</v>
      </c>
      <c r="T114" s="362"/>
      <c r="U114" s="358"/>
      <c r="V114" s="360"/>
      <c r="W114" s="190"/>
      <c r="X114" s="358"/>
      <c r="Y114" s="360"/>
      <c r="Z114" s="190"/>
      <c r="AA114" s="358"/>
      <c r="AB114" s="360"/>
      <c r="AC114" s="190"/>
      <c r="AD114" s="358"/>
      <c r="AE114" s="360"/>
      <c r="AF114" s="190"/>
      <c r="AG114" s="358"/>
      <c r="AH114" s="360"/>
      <c r="AI114" s="190"/>
      <c r="AJ114" s="168">
        <f>VLOOKUP(CONCATENATE("22",Konfiguration_Configuration!$N$6),Daten!$B$5:$E$99,3,FALSE)</f>
        <v>0.6</v>
      </c>
      <c r="AK114" s="362"/>
      <c r="AL114" s="358"/>
      <c r="AM114" s="360"/>
      <c r="AN114" s="190"/>
      <c r="AO114" s="358"/>
      <c r="AP114" s="360"/>
      <c r="AQ114" s="190"/>
      <c r="AR114" s="358"/>
      <c r="AS114" s="360"/>
      <c r="AT114" s="190"/>
      <c r="AU114" s="358"/>
      <c r="AV114" s="360"/>
      <c r="AW114" s="190"/>
      <c r="AX114" s="358"/>
      <c r="AY114" s="360"/>
      <c r="AZ114" s="190"/>
      <c r="BA114" s="168">
        <f>VLOOKUP(CONCATENATE("22",Konfiguration_Configuration!$N$6),Daten!$B$5:$E$99,3,FALSE)</f>
        <v>0.6</v>
      </c>
      <c r="BB114" s="362"/>
      <c r="BC114" s="358"/>
      <c r="BD114" s="360"/>
      <c r="BE114" s="190"/>
      <c r="BF114" s="358"/>
      <c r="BG114" s="360"/>
      <c r="BH114" s="190"/>
      <c r="BI114" s="358"/>
      <c r="BJ114" s="360"/>
      <c r="BK114" s="190"/>
      <c r="BL114" s="358"/>
      <c r="BM114" s="360"/>
      <c r="BN114" s="190"/>
      <c r="BO114" s="358"/>
      <c r="BP114" s="360"/>
      <c r="BQ114" s="190"/>
    </row>
    <row r="115" spans="1:72" ht="32.1" customHeight="1">
      <c r="A115" s="210" t="str">
        <f>VLOOKUP(CONCATENATE("22",Konfiguration_Configuration!$N$6),Daten!$B$5:$E$99,2,FALSE)</f>
        <v>½ ChSqC</v>
      </c>
      <c r="B115" s="169"/>
      <c r="C115" s="363"/>
      <c r="D115" s="359"/>
      <c r="E115" s="361"/>
      <c r="F115" s="187" t="str">
        <f>IF(E114="","",MAX(E114,E115,#REF!)/10*$B$45+$B$45)</f>
        <v/>
      </c>
      <c r="G115" s="359"/>
      <c r="H115" s="361"/>
      <c r="I115" s="187" t="str">
        <f>IF(H114="","",MAX(H114,H115,#REF!)/10*$B$45+$B$45)</f>
        <v/>
      </c>
      <c r="J115" s="359"/>
      <c r="K115" s="361"/>
      <c r="L115" s="187" t="str">
        <f>IF(K114="","",MAX(K114,K115,#REF!)/10*$B$45+$B$45)</f>
        <v/>
      </c>
      <c r="M115" s="359"/>
      <c r="N115" s="361"/>
      <c r="O115" s="187" t="str">
        <f>IF(N114="","",MAX(N114,N115,#REF!)/10*$B$45+$B$45)</f>
        <v/>
      </c>
      <c r="P115" s="359"/>
      <c r="Q115" s="361"/>
      <c r="R115" s="187" t="str">
        <f>IF(Q114="","",MAX(Q114,Q115,#REF!)/10*$B$45+$B$45)</f>
        <v/>
      </c>
      <c r="S115" s="169"/>
      <c r="T115" s="363"/>
      <c r="U115" s="359"/>
      <c r="V115" s="361"/>
      <c r="W115" s="187" t="str">
        <f>IF(V114="","",MAX(V114,V115,#REF!)/10*$B$45+$B$45)</f>
        <v/>
      </c>
      <c r="X115" s="359"/>
      <c r="Y115" s="361"/>
      <c r="Z115" s="187" t="str">
        <f>IF(Y114="","",MAX(Y114,Y115,#REF!)/10*$B$45+$B$45)</f>
        <v/>
      </c>
      <c r="AA115" s="359"/>
      <c r="AB115" s="361"/>
      <c r="AC115" s="187" t="str">
        <f>IF(AB114="","",MAX(AB114,AB115,#REF!)/10*$B$45+$B$45)</f>
        <v/>
      </c>
      <c r="AD115" s="359"/>
      <c r="AE115" s="361"/>
      <c r="AF115" s="187" t="str">
        <f>IF(AE114="","",MAX(AE114,AE115,#REF!)/10*$B$45+$B$45)</f>
        <v/>
      </c>
      <c r="AG115" s="359"/>
      <c r="AH115" s="361"/>
      <c r="AI115" s="187" t="str">
        <f>IF(AH114="","",MAX(AH114,AH115,#REF!)/10*$B$45+$B$45)</f>
        <v/>
      </c>
      <c r="AJ115" s="169"/>
      <c r="AK115" s="363"/>
      <c r="AL115" s="359"/>
      <c r="AM115" s="361"/>
      <c r="AN115" s="187" t="str">
        <f>IF(AM114="","",MAX(AM114,AM115,#REF!)/10*$B$45+$B$45)</f>
        <v/>
      </c>
      <c r="AO115" s="359"/>
      <c r="AP115" s="361"/>
      <c r="AQ115" s="187" t="str">
        <f>IF(AP114="","",MAX(AP114,AP115,#REF!)/10*$B$45+$B$45)</f>
        <v/>
      </c>
      <c r="AR115" s="359"/>
      <c r="AS115" s="361"/>
      <c r="AT115" s="187" t="str">
        <f>IF(AS114="","",MAX(AS114,AS115,#REF!)/10*$B$45+$B$45)</f>
        <v/>
      </c>
      <c r="AU115" s="359"/>
      <c r="AV115" s="361"/>
      <c r="AW115" s="187" t="str">
        <f>IF(AV114="","",MAX(AV114,AV115,#REF!)/10*$B$45+$B$45)</f>
        <v/>
      </c>
      <c r="AX115" s="359"/>
      <c r="AY115" s="361"/>
      <c r="AZ115" s="187" t="str">
        <f>IF(AY114="","",MAX(AY114,AY115,#REF!)/10*$B$45+$B$45)</f>
        <v/>
      </c>
      <c r="BA115" s="169"/>
      <c r="BB115" s="363"/>
      <c r="BC115" s="359"/>
      <c r="BD115" s="361"/>
      <c r="BE115" s="187" t="str">
        <f>IF(BD114="","",MAX(BD114,BD115,#REF!)/10*$B$45+$B$45)</f>
        <v/>
      </c>
      <c r="BF115" s="359"/>
      <c r="BG115" s="361"/>
      <c r="BH115" s="187" t="str">
        <f>IF(BG114="","",MAX(BG114,BG115,#REF!)/10*$B$45+$B$45)</f>
        <v/>
      </c>
      <c r="BI115" s="359"/>
      <c r="BJ115" s="361"/>
      <c r="BK115" s="187" t="str">
        <f>IF(BJ114="","",MAX(BJ114,BJ115,#REF!)/10*$B$45+$B$45)</f>
        <v/>
      </c>
      <c r="BL115" s="359"/>
      <c r="BM115" s="361"/>
      <c r="BN115" s="187" t="str">
        <f>IF(BM114="","",MAX(BM114,BM115,#REF!)/10*$B$45+$B$45)</f>
        <v/>
      </c>
      <c r="BO115" s="359"/>
      <c r="BP115" s="361"/>
      <c r="BQ115" s="187" t="str">
        <f>IF(BP114="","",MAX(BP114,BP115,#REF!)/10*$B$45+$B$45)</f>
        <v/>
      </c>
    </row>
    <row r="116" spans="1:72" ht="32.1" customHeight="1">
      <c r="A116" s="136" t="str">
        <f>CONCATENATE(LEFT(A$44,LEN(A$44)-6)," 2:")</f>
        <v>Vorgeschriebene Schritte 2:</v>
      </c>
      <c r="B116" s="168">
        <f>VLOOKUP(CONCATENATE("23",Konfiguration_Configuration!$N$6),Daten!$B$5:$E$99,3,FALSE)</f>
        <v>0.6</v>
      </c>
      <c r="C116" s="362"/>
      <c r="D116" s="358"/>
      <c r="E116" s="360"/>
      <c r="F116" s="190"/>
      <c r="G116" s="358"/>
      <c r="H116" s="360"/>
      <c r="I116" s="190"/>
      <c r="J116" s="358"/>
      <c r="K116" s="360"/>
      <c r="L116" s="190"/>
      <c r="M116" s="358"/>
      <c r="N116" s="360"/>
      <c r="O116" s="190"/>
      <c r="P116" s="358"/>
      <c r="Q116" s="360"/>
      <c r="R116" s="190"/>
      <c r="S116" s="168">
        <f>VLOOKUP(CONCATENATE("23",Konfiguration_Configuration!$N$6),Daten!$B$5:$E$99,3,FALSE)</f>
        <v>0.6</v>
      </c>
      <c r="T116" s="362"/>
      <c r="U116" s="358"/>
      <c r="V116" s="360"/>
      <c r="W116" s="190"/>
      <c r="X116" s="358"/>
      <c r="Y116" s="360"/>
      <c r="Z116" s="190"/>
      <c r="AA116" s="358"/>
      <c r="AB116" s="360"/>
      <c r="AC116" s="190"/>
      <c r="AD116" s="358"/>
      <c r="AE116" s="360"/>
      <c r="AF116" s="190"/>
      <c r="AG116" s="358"/>
      <c r="AH116" s="360"/>
      <c r="AI116" s="190"/>
      <c r="AJ116" s="168">
        <f>VLOOKUP(CONCATENATE("23",Konfiguration_Configuration!$N$6),Daten!$B$5:$E$99,3,FALSE)</f>
        <v>0.6</v>
      </c>
      <c r="AK116" s="362"/>
      <c r="AL116" s="358"/>
      <c r="AM116" s="360"/>
      <c r="AN116" s="190"/>
      <c r="AO116" s="358"/>
      <c r="AP116" s="360"/>
      <c r="AQ116" s="190"/>
      <c r="AR116" s="358"/>
      <c r="AS116" s="360"/>
      <c r="AT116" s="190"/>
      <c r="AU116" s="358"/>
      <c r="AV116" s="360"/>
      <c r="AW116" s="190"/>
      <c r="AX116" s="358"/>
      <c r="AY116" s="360"/>
      <c r="AZ116" s="190"/>
      <c r="BA116" s="168">
        <f>VLOOKUP(CONCATENATE("23",Konfiguration_Configuration!$N$6),Daten!$B$5:$E$99,3,FALSE)</f>
        <v>0.6</v>
      </c>
      <c r="BB116" s="362"/>
      <c r="BC116" s="358"/>
      <c r="BD116" s="360"/>
      <c r="BE116" s="190"/>
      <c r="BF116" s="358"/>
      <c r="BG116" s="360"/>
      <c r="BH116" s="190"/>
      <c r="BI116" s="358"/>
      <c r="BJ116" s="360"/>
      <c r="BK116" s="190"/>
      <c r="BL116" s="358"/>
      <c r="BM116" s="360"/>
      <c r="BN116" s="190"/>
      <c r="BO116" s="358"/>
      <c r="BP116" s="360"/>
      <c r="BQ116" s="190"/>
    </row>
    <row r="117" spans="1:72" ht="32.1" customHeight="1">
      <c r="A117" s="210" t="str">
        <f>VLOOKUP(CONCATENATE("23",Konfiguration_Configuration!$N$6),Daten!$B$5:$E$99,2,FALSE)</f>
        <v>½ Kreisschritt</v>
      </c>
      <c r="B117" s="169"/>
      <c r="C117" s="363"/>
      <c r="D117" s="359"/>
      <c r="E117" s="361"/>
      <c r="F117" s="187" t="str">
        <f>IF(E116="","",IF(B72=6,MAX(E116,E117,#REF!)/10*$B$49,MAX(E116,E117,#REF!)/10*F$49+F$49))</f>
        <v/>
      </c>
      <c r="G117" s="359"/>
      <c r="H117" s="361"/>
      <c r="I117" s="187" t="str">
        <f>IF(H116="","",IF(B72=6,MAX(H116,H117,#REF!)/10*$B$49,MAX(H116,H117,#REF!)/10*I$49+I$49))</f>
        <v/>
      </c>
      <c r="J117" s="359"/>
      <c r="K117" s="361"/>
      <c r="L117" s="187" t="str">
        <f>IF(K116="","",IF(B72=6,MAX(K116,K117,#REF!)/10*$B$49,MAX(K116,K117,#REF!)/10*L$49+L$49))</f>
        <v/>
      </c>
      <c r="M117" s="359"/>
      <c r="N117" s="361"/>
      <c r="O117" s="187" t="str">
        <f>IF(N116="","",IF(B72=6,MAX(N116,N117,#REF!)/10*$B$49,MAX(N116,N117,#REF!)/10*O$49+O$49))</f>
        <v/>
      </c>
      <c r="P117" s="359"/>
      <c r="Q117" s="361"/>
      <c r="R117" s="187" t="str">
        <f>IF(Q116="","",IF(B72=6,MAX(Q116,Q117,#REF!)/10*$B$49,MAX(Q116,Q117,#REF!)/10*R$49+R$49))</f>
        <v/>
      </c>
      <c r="S117" s="169"/>
      <c r="T117" s="363"/>
      <c r="U117" s="359"/>
      <c r="V117" s="361"/>
      <c r="W117" s="187" t="str">
        <f>IF(V116="","",IF(S72=6,MAX(V116,V117,#REF!)/10*$B$49,MAX(V116,V117,#REF!)/10*W$49+W$49))</f>
        <v/>
      </c>
      <c r="X117" s="359"/>
      <c r="Y117" s="361"/>
      <c r="Z117" s="187" t="str">
        <f>IF(Y116="","",IF(S72=6,MAX(Y116,Y117,#REF!)/10*$B$49,MAX(Y116,Y117,#REF!)/10*Z$49+Z$49))</f>
        <v/>
      </c>
      <c r="AA117" s="359"/>
      <c r="AB117" s="361"/>
      <c r="AC117" s="187" t="str">
        <f>IF(AB116="","",IF(S72=6,MAX(AB116,AB117,#REF!)/10*$B$49,MAX(AB116,AB117,#REF!)/10*AC$49+AC$49))</f>
        <v/>
      </c>
      <c r="AD117" s="359"/>
      <c r="AE117" s="361"/>
      <c r="AF117" s="187" t="str">
        <f>IF(AE116="","",IF(S72=6,MAX(AE116,AE117,#REF!)/10*$B$49,MAX(AE116,AE117,#REF!)/10*AF$49+AF$49))</f>
        <v/>
      </c>
      <c r="AG117" s="359"/>
      <c r="AH117" s="361"/>
      <c r="AI117" s="187" t="str">
        <f>IF(AH116="","",IF(S72=6,MAX(AH116,AH117,#REF!)/10*$B$49,MAX(AH116,AH117,#REF!)/10*AI$49+AI$49))</f>
        <v/>
      </c>
      <c r="AJ117" s="169"/>
      <c r="AK117" s="363"/>
      <c r="AL117" s="359"/>
      <c r="AM117" s="361"/>
      <c r="AN117" s="187" t="str">
        <f>IF(AM116="","",IF(AJ72=6,MAX(AM116,AM117,#REF!)/10*$B$49,MAX(AM116,AM117,#REF!)/10*AN$49+AN$49))</f>
        <v/>
      </c>
      <c r="AO117" s="359"/>
      <c r="AP117" s="361"/>
      <c r="AQ117" s="187" t="str">
        <f>IF(AP116="","",IF(AJ72=6,MAX(AP116,AP117,#REF!)/10*$B$49,MAX(AP116,AP117,#REF!)/10*AQ$49+AQ$49))</f>
        <v/>
      </c>
      <c r="AR117" s="359"/>
      <c r="AS117" s="361"/>
      <c r="AT117" s="187" t="str">
        <f>IF(AS116="","",IF(AJ72=6,MAX(AS116,AS117,#REF!)/10*$B$49,MAX(AS116,AS117,#REF!)/10*AT$49+AT$49))</f>
        <v/>
      </c>
      <c r="AU117" s="359"/>
      <c r="AV117" s="361"/>
      <c r="AW117" s="187" t="str">
        <f>IF(AV116="","",IF(AJ72=6,MAX(AV116,AV117,#REF!)/10*$B$49,MAX(AV116,AV117,#REF!)/10*AW$49+AW$49))</f>
        <v/>
      </c>
      <c r="AX117" s="359"/>
      <c r="AY117" s="361"/>
      <c r="AZ117" s="187" t="str">
        <f>IF(AY116="","",IF(AJ72=6,MAX(AY116,AY117,#REF!)/10*$B$49,MAX(AY116,AY117,#REF!)/10*AZ$49+AZ$49))</f>
        <v/>
      </c>
      <c r="BA117" s="169"/>
      <c r="BB117" s="363"/>
      <c r="BC117" s="359"/>
      <c r="BD117" s="361"/>
      <c r="BE117" s="187" t="str">
        <f>IF(BD116="","",IF(BA72=6,MAX(BD116,BD117,#REF!)/10*$B$49,MAX(BD116,BD117,#REF!)/10*BE$49+BE$49))</f>
        <v/>
      </c>
      <c r="BF117" s="359"/>
      <c r="BG117" s="361"/>
      <c r="BH117" s="187" t="str">
        <f>IF(BG116="","",IF(BA72=6,MAX(BG116,BG117,#REF!)/10*$B$49,MAX(BG116,BG117,#REF!)/10*BH$49+BH$49))</f>
        <v/>
      </c>
      <c r="BI117" s="359"/>
      <c r="BJ117" s="361"/>
      <c r="BK117" s="187" t="str">
        <f>IF(BJ116="","",IF(BA72=6,MAX(BJ116,BJ117,#REF!)/10*$B$49,MAX(BJ116,BJ117,#REF!)/10*BK$49+BK$49))</f>
        <v/>
      </c>
      <c r="BL117" s="359"/>
      <c r="BM117" s="361"/>
      <c r="BN117" s="187" t="str">
        <f>IF(BM116="","",IF(BA72=6,MAX(BM116,BM117,#REF!)/10*$B$49,MAX(BM116,BM117,#REF!)/10*BN$49+BN$49))</f>
        <v/>
      </c>
      <c r="BO117" s="359"/>
      <c r="BP117" s="361"/>
      <c r="BQ117" s="187" t="str">
        <f>IF(BP116="","",IF(BA72=6,MAX(BP116,BP117,#REF!)/10*$B$49,MAX(BP116,BP117,#REF!)/10*BQ$49+BQ$49))</f>
        <v/>
      </c>
    </row>
    <row r="118" spans="1:72" ht="32.1" customHeight="1">
      <c r="A118" s="136" t="str">
        <f>CONCATENATE(LEFT(A$44,LEN(A$44)-6)," 3:")</f>
        <v>Vorgeschriebene Schritte 3:</v>
      </c>
      <c r="B118" s="168">
        <f>VLOOKUP(CONCATENATE("24",Konfiguration_Configuration!$N$6),Daten!$B$5:$E$99,3,FALSE)</f>
        <v>0.6</v>
      </c>
      <c r="C118" s="362"/>
      <c r="D118" s="358"/>
      <c r="E118" s="360"/>
      <c r="F118" s="190"/>
      <c r="G118" s="358"/>
      <c r="H118" s="360"/>
      <c r="I118" s="190"/>
      <c r="J118" s="358"/>
      <c r="K118" s="360"/>
      <c r="L118" s="190"/>
      <c r="M118" s="358"/>
      <c r="N118" s="360"/>
      <c r="O118" s="190"/>
      <c r="P118" s="358"/>
      <c r="Q118" s="360"/>
      <c r="R118" s="190"/>
      <c r="S118" s="168">
        <f>VLOOKUP(CONCATENATE("24",Konfiguration_Configuration!$N$6),Daten!$B$5:$E$99,3,FALSE)</f>
        <v>0.6</v>
      </c>
      <c r="T118" s="362"/>
      <c r="U118" s="358"/>
      <c r="V118" s="360"/>
      <c r="W118" s="190"/>
      <c r="X118" s="358"/>
      <c r="Y118" s="360"/>
      <c r="Z118" s="190"/>
      <c r="AA118" s="358"/>
      <c r="AB118" s="360"/>
      <c r="AC118" s="190"/>
      <c r="AD118" s="358"/>
      <c r="AE118" s="360"/>
      <c r="AF118" s="190"/>
      <c r="AG118" s="358"/>
      <c r="AH118" s="360"/>
      <c r="AI118" s="190"/>
      <c r="AJ118" s="168">
        <f>VLOOKUP(CONCATENATE("24",Konfiguration_Configuration!$N$6),Daten!$B$5:$E$99,3,FALSE)</f>
        <v>0.6</v>
      </c>
      <c r="AK118" s="362"/>
      <c r="AL118" s="358"/>
      <c r="AM118" s="360"/>
      <c r="AN118" s="190"/>
      <c r="AO118" s="358"/>
      <c r="AP118" s="360"/>
      <c r="AQ118" s="190"/>
      <c r="AR118" s="358"/>
      <c r="AS118" s="360"/>
      <c r="AT118" s="190"/>
      <c r="AU118" s="358"/>
      <c r="AV118" s="360"/>
      <c r="AW118" s="190"/>
      <c r="AX118" s="358"/>
      <c r="AY118" s="360"/>
      <c r="AZ118" s="190"/>
      <c r="BA118" s="168">
        <f>VLOOKUP(CONCATENATE("24",Konfiguration_Configuration!$N$6),Daten!$B$5:$E$99,3,FALSE)</f>
        <v>0.6</v>
      </c>
      <c r="BB118" s="362"/>
      <c r="BC118" s="358"/>
      <c r="BD118" s="360"/>
      <c r="BE118" s="190"/>
      <c r="BF118" s="358"/>
      <c r="BG118" s="360"/>
      <c r="BH118" s="190"/>
      <c r="BI118" s="358"/>
      <c r="BJ118" s="360"/>
      <c r="BK118" s="190"/>
      <c r="BL118" s="358"/>
      <c r="BM118" s="360"/>
      <c r="BN118" s="190"/>
      <c r="BO118" s="358"/>
      <c r="BP118" s="360"/>
      <c r="BQ118" s="190"/>
    </row>
    <row r="119" spans="1:72" ht="32.1" customHeight="1">
      <c r="A119" s="210" t="str">
        <f>VLOOKUP(CONCATENATE("24",Konfiguration_Configuration!$N$6),Daten!$B$5:$E$99,2,FALSE)</f>
        <v>½ Längsschritt</v>
      </c>
      <c r="B119" s="169"/>
      <c r="C119" s="363"/>
      <c r="D119" s="359"/>
      <c r="E119" s="361"/>
      <c r="F119" s="187" t="str">
        <f>IF(E118="","",IF(B75=6,MAX(E118,E119,#REF!)/10*$B$49,MAX(E118,E119,#REF!)/10*F$49+F$49))</f>
        <v/>
      </c>
      <c r="G119" s="359"/>
      <c r="H119" s="361"/>
      <c r="I119" s="187" t="str">
        <f>IF(H118="","",IF(B75=6,MAX(H118,H119,#REF!)/10*$B$49,MAX(H118,H119,#REF!)/10*I$49+I$49))</f>
        <v/>
      </c>
      <c r="J119" s="359"/>
      <c r="K119" s="361"/>
      <c r="L119" s="187" t="str">
        <f>IF(K118="","",IF(B75=6,MAX(K118,K119,#REF!)/10*$B$49,MAX(K118,K119,#REF!)/10*L$49+L$49))</f>
        <v/>
      </c>
      <c r="M119" s="359"/>
      <c r="N119" s="361"/>
      <c r="O119" s="187" t="str">
        <f>IF(N118="","",IF(B75=6,MAX(N118,N119,#REF!)/10*$B$49,MAX(N118,N119,#REF!)/10*O$49+O$49))</f>
        <v/>
      </c>
      <c r="P119" s="359"/>
      <c r="Q119" s="361"/>
      <c r="R119" s="187" t="str">
        <f>IF(Q118="","",IF(B75=6,MAX(Q118,Q119,#REF!)/10*$B$49,MAX(Q118,Q119,#REF!)/10*R$49+R$49))</f>
        <v/>
      </c>
      <c r="S119" s="169"/>
      <c r="T119" s="363"/>
      <c r="U119" s="359"/>
      <c r="V119" s="361"/>
      <c r="W119" s="187" t="str">
        <f>IF(V118="","",IF(S75=6,MAX(V118,V119,#REF!)/10*$B$49,MAX(V118,V119,#REF!)/10*W$49+W$49))</f>
        <v/>
      </c>
      <c r="X119" s="359"/>
      <c r="Y119" s="361"/>
      <c r="Z119" s="187" t="str">
        <f>IF(Y118="","",IF(S75=6,MAX(Y118,Y119,#REF!)/10*$B$49,MAX(Y118,Y119,#REF!)/10*Z$49+Z$49))</f>
        <v/>
      </c>
      <c r="AA119" s="359"/>
      <c r="AB119" s="361"/>
      <c r="AC119" s="187" t="str">
        <f>IF(AB118="","",IF(S75=6,MAX(AB118,AB119,#REF!)/10*$B$49,MAX(AB118,AB119,#REF!)/10*AC$49+AC$49))</f>
        <v/>
      </c>
      <c r="AD119" s="359"/>
      <c r="AE119" s="361"/>
      <c r="AF119" s="187" t="str">
        <f>IF(AE118="","",IF(S75=6,MAX(AE118,AE119,#REF!)/10*$B$49,MAX(AE118,AE119,#REF!)/10*AF$49+AF$49))</f>
        <v/>
      </c>
      <c r="AG119" s="359"/>
      <c r="AH119" s="361"/>
      <c r="AI119" s="187" t="str">
        <f>IF(AH118="","",IF(S75=6,MAX(AH118,AH119,#REF!)/10*$B$49,MAX(AH118,AH119,#REF!)/10*AI$49+AI$49))</f>
        <v/>
      </c>
      <c r="AJ119" s="169"/>
      <c r="AK119" s="363"/>
      <c r="AL119" s="359"/>
      <c r="AM119" s="361"/>
      <c r="AN119" s="187" t="str">
        <f>IF(AM118="","",IF(AJ75=6,MAX(AM118,AM119,#REF!)/10*$B$49,MAX(AM118,AM119,#REF!)/10*AN$49+AN$49))</f>
        <v/>
      </c>
      <c r="AO119" s="359"/>
      <c r="AP119" s="361"/>
      <c r="AQ119" s="187" t="str">
        <f>IF(AP118="","",IF(AJ75=6,MAX(AP118,AP119,#REF!)/10*$B$49,MAX(AP118,AP119,#REF!)/10*AQ$49+AQ$49))</f>
        <v/>
      </c>
      <c r="AR119" s="359"/>
      <c r="AS119" s="361"/>
      <c r="AT119" s="187" t="str">
        <f>IF(AS118="","",IF(AJ75=6,MAX(AS118,AS119,#REF!)/10*$B$49,MAX(AS118,AS119,#REF!)/10*AT$49+AT$49))</f>
        <v/>
      </c>
      <c r="AU119" s="359"/>
      <c r="AV119" s="361"/>
      <c r="AW119" s="187" t="str">
        <f>IF(AV118="","",IF(AJ75=6,MAX(AV118,AV119,#REF!)/10*$B$49,MAX(AV118,AV119,#REF!)/10*AW$49+AW$49))</f>
        <v/>
      </c>
      <c r="AX119" s="359"/>
      <c r="AY119" s="361"/>
      <c r="AZ119" s="187" t="str">
        <f>IF(AY118="","",IF(AJ75=6,MAX(AY118,AY119,#REF!)/10*$B$49,MAX(AY118,AY119,#REF!)/10*AZ$49+AZ$49))</f>
        <v/>
      </c>
      <c r="BA119" s="169"/>
      <c r="BB119" s="363"/>
      <c r="BC119" s="359"/>
      <c r="BD119" s="361"/>
      <c r="BE119" s="187" t="str">
        <f>IF(BD118="","",IF(BA75=6,MAX(BD118,BD119,#REF!)/10*$B$49,MAX(BD118,BD119,#REF!)/10*BE$49+BE$49))</f>
        <v/>
      </c>
      <c r="BF119" s="359"/>
      <c r="BG119" s="361"/>
      <c r="BH119" s="187" t="str">
        <f>IF(BG118="","",IF(BA75=6,MAX(BG118,BG119,#REF!)/10*$B$49,MAX(BG118,BG119,#REF!)/10*BH$49+BH$49))</f>
        <v/>
      </c>
      <c r="BI119" s="359"/>
      <c r="BJ119" s="361"/>
      <c r="BK119" s="187" t="str">
        <f>IF(BJ118="","",IF(BA75=6,MAX(BJ118,BJ119,#REF!)/10*$B$49,MAX(BJ118,BJ119,#REF!)/10*BK$49+BK$49))</f>
        <v/>
      </c>
      <c r="BL119" s="359"/>
      <c r="BM119" s="361"/>
      <c r="BN119" s="187" t="str">
        <f>IF(BM118="","",IF(BA75=6,MAX(BM118,BM119,#REF!)/10*$B$49,MAX(BM118,BM119,#REF!)/10*BN$49+BN$49))</f>
        <v/>
      </c>
      <c r="BO119" s="359"/>
      <c r="BP119" s="361"/>
      <c r="BQ119" s="187" t="str">
        <f>IF(BP118="","",IF(BA75=6,MAX(BP118,BP119,#REF!)/10*$B$49,MAX(BP118,BP119,#REF!)/10*BQ$49+BQ$49))</f>
        <v/>
      </c>
    </row>
    <row r="120" spans="1:72" ht="32.1" customHeight="1">
      <c r="A120" s="222" t="str">
        <f>VLOOKUP(CONCATENATE("11",Konfiguration_Configuration!N$6),Daten!B$5:C$99,2,FALSE)</f>
        <v>Total pro Preisrichter</v>
      </c>
      <c r="B120" s="220"/>
      <c r="C120" s="221"/>
      <c r="D120" s="219"/>
      <c r="E120" s="220"/>
      <c r="F120" s="223"/>
      <c r="G120" s="220"/>
      <c r="H120" s="220"/>
      <c r="I120" s="223"/>
      <c r="J120" s="220"/>
      <c r="K120" s="220"/>
      <c r="L120" s="223"/>
      <c r="M120" s="220"/>
      <c r="N120" s="220"/>
      <c r="O120" s="223"/>
      <c r="P120" s="220"/>
      <c r="Q120" s="220"/>
      <c r="R120" s="223"/>
      <c r="S120" s="220"/>
      <c r="T120" s="221"/>
      <c r="U120" s="135"/>
      <c r="V120" s="186"/>
      <c r="W120" s="212"/>
      <c r="X120" s="135"/>
      <c r="Y120" s="186"/>
      <c r="Z120" s="212"/>
      <c r="AA120" s="135"/>
      <c r="AB120" s="186"/>
      <c r="AC120" s="212"/>
      <c r="AD120" s="135"/>
      <c r="AE120" s="186"/>
      <c r="AF120" s="212"/>
      <c r="AG120" s="135"/>
      <c r="AH120" s="186"/>
      <c r="AI120" s="212"/>
      <c r="AJ120" s="220"/>
      <c r="AK120" s="221"/>
      <c r="AL120" s="135"/>
      <c r="AM120" s="186"/>
      <c r="AN120" s="212"/>
      <c r="AO120" s="135"/>
      <c r="AP120" s="186"/>
      <c r="AQ120" s="212"/>
      <c r="AR120" s="135"/>
      <c r="AS120" s="186"/>
      <c r="AT120" s="212"/>
      <c r="AU120" s="135"/>
      <c r="AV120" s="186"/>
      <c r="AW120" s="212"/>
      <c r="AX120" s="135"/>
      <c r="AY120" s="186"/>
      <c r="AZ120" s="212"/>
      <c r="BA120" s="220"/>
      <c r="BB120" s="221"/>
      <c r="BC120" s="135"/>
      <c r="BD120" s="186"/>
      <c r="BE120" s="212"/>
      <c r="BF120" s="135"/>
      <c r="BG120" s="186"/>
      <c r="BH120" s="212"/>
      <c r="BI120" s="135"/>
      <c r="BJ120" s="186"/>
      <c r="BK120" s="212"/>
      <c r="BL120" s="135"/>
      <c r="BM120" s="186"/>
      <c r="BN120" s="212"/>
      <c r="BO120" s="135"/>
      <c r="BP120" s="186"/>
      <c r="BQ120" s="212"/>
    </row>
    <row r="121" spans="1:72" ht="32.1" hidden="1" customHeight="1">
      <c r="A121" s="140"/>
      <c r="B121" s="141"/>
      <c r="C121" s="142"/>
      <c r="D121" s="192" t="s">
        <v>246</v>
      </c>
      <c r="E121" s="143"/>
      <c r="F121" s="187"/>
      <c r="G121" s="192" t="s">
        <v>246</v>
      </c>
      <c r="H121" s="143"/>
      <c r="I121" s="187"/>
      <c r="J121" s="192" t="s">
        <v>246</v>
      </c>
      <c r="K121" s="143"/>
      <c r="L121" s="187"/>
      <c r="M121" s="192" t="s">
        <v>246</v>
      </c>
      <c r="N121" s="143"/>
      <c r="O121" s="187"/>
      <c r="P121" s="192" t="s">
        <v>246</v>
      </c>
      <c r="Q121" s="143"/>
      <c r="R121" s="187"/>
      <c r="S121" s="141"/>
      <c r="T121" s="142"/>
      <c r="U121" s="192" t="s">
        <v>246</v>
      </c>
      <c r="V121" s="143"/>
      <c r="W121" s="187"/>
      <c r="X121" s="192" t="s">
        <v>246</v>
      </c>
      <c r="Y121" s="143"/>
      <c r="Z121" s="187"/>
      <c r="AA121" s="192" t="s">
        <v>246</v>
      </c>
      <c r="AB121" s="143"/>
      <c r="AC121" s="187"/>
      <c r="AD121" s="192" t="s">
        <v>246</v>
      </c>
      <c r="AE121" s="143"/>
      <c r="AF121" s="187"/>
      <c r="AG121" s="192" t="s">
        <v>246</v>
      </c>
      <c r="AH121" s="143"/>
      <c r="AI121" s="187"/>
      <c r="AJ121" s="141"/>
      <c r="AK121" s="142"/>
      <c r="AL121" s="192" t="s">
        <v>246</v>
      </c>
      <c r="AM121" s="143"/>
      <c r="AN121" s="187"/>
      <c r="AO121" s="192" t="s">
        <v>246</v>
      </c>
      <c r="AP121" s="143"/>
      <c r="AQ121" s="187"/>
      <c r="AR121" s="192" t="s">
        <v>246</v>
      </c>
      <c r="AS121" s="143"/>
      <c r="AT121" s="187"/>
      <c r="AU121" s="192" t="s">
        <v>246</v>
      </c>
      <c r="AV121" s="143"/>
      <c r="AW121" s="187"/>
      <c r="AX121" s="192" t="s">
        <v>246</v>
      </c>
      <c r="AY121" s="143"/>
      <c r="AZ121" s="187"/>
      <c r="BA121" s="141"/>
      <c r="BB121" s="142"/>
      <c r="BC121" s="192" t="s">
        <v>246</v>
      </c>
      <c r="BD121" s="143"/>
      <c r="BE121" s="187"/>
      <c r="BF121" s="192" t="s">
        <v>246</v>
      </c>
      <c r="BG121" s="143"/>
      <c r="BH121" s="187"/>
      <c r="BI121" s="192" t="s">
        <v>246</v>
      </c>
      <c r="BJ121" s="143"/>
      <c r="BK121" s="187"/>
      <c r="BL121" s="192" t="s">
        <v>246</v>
      </c>
      <c r="BM121" s="143"/>
      <c r="BN121" s="187"/>
      <c r="BO121" s="192" t="s">
        <v>246</v>
      </c>
      <c r="BP121" s="143"/>
      <c r="BQ121" s="187"/>
      <c r="BR121" s="144"/>
      <c r="BT121" s="58"/>
    </row>
    <row r="122" spans="1:72" ht="32.1" hidden="1" customHeight="1">
      <c r="A122" s="140"/>
      <c r="B122" s="141"/>
      <c r="C122" s="142"/>
      <c r="D122" s="192" t="s">
        <v>247</v>
      </c>
      <c r="E122" s="143"/>
      <c r="F122" s="187"/>
      <c r="G122" s="192" t="s">
        <v>247</v>
      </c>
      <c r="H122" s="143"/>
      <c r="I122" s="187"/>
      <c r="J122" s="192" t="s">
        <v>247</v>
      </c>
      <c r="K122" s="143"/>
      <c r="L122" s="187"/>
      <c r="M122" s="192" t="s">
        <v>247</v>
      </c>
      <c r="N122" s="143"/>
      <c r="O122" s="187"/>
      <c r="P122" s="192" t="s">
        <v>247</v>
      </c>
      <c r="Q122" s="143"/>
      <c r="R122" s="187"/>
      <c r="S122" s="141"/>
      <c r="T122" s="142"/>
      <c r="U122" s="192" t="s">
        <v>247</v>
      </c>
      <c r="V122" s="143"/>
      <c r="W122" s="187"/>
      <c r="X122" s="192" t="s">
        <v>247</v>
      </c>
      <c r="Y122" s="143"/>
      <c r="Z122" s="187"/>
      <c r="AA122" s="192" t="s">
        <v>247</v>
      </c>
      <c r="AB122" s="143"/>
      <c r="AC122" s="187"/>
      <c r="AD122" s="192" t="s">
        <v>247</v>
      </c>
      <c r="AE122" s="143"/>
      <c r="AF122" s="187"/>
      <c r="AG122" s="192" t="s">
        <v>247</v>
      </c>
      <c r="AH122" s="143"/>
      <c r="AI122" s="187"/>
      <c r="AJ122" s="141"/>
      <c r="AK122" s="142"/>
      <c r="AL122" s="192" t="s">
        <v>247</v>
      </c>
      <c r="AM122" s="143"/>
      <c r="AN122" s="187"/>
      <c r="AO122" s="192" t="s">
        <v>247</v>
      </c>
      <c r="AP122" s="143"/>
      <c r="AQ122" s="187"/>
      <c r="AR122" s="192" t="s">
        <v>247</v>
      </c>
      <c r="AS122" s="143"/>
      <c r="AT122" s="187"/>
      <c r="AU122" s="192" t="s">
        <v>247</v>
      </c>
      <c r="AV122" s="143"/>
      <c r="AW122" s="187"/>
      <c r="AX122" s="192" t="s">
        <v>247</v>
      </c>
      <c r="AY122" s="143"/>
      <c r="AZ122" s="187"/>
      <c r="BA122" s="141"/>
      <c r="BB122" s="142"/>
      <c r="BC122" s="192" t="s">
        <v>247</v>
      </c>
      <c r="BD122" s="143"/>
      <c r="BE122" s="187"/>
      <c r="BF122" s="192" t="s">
        <v>247</v>
      </c>
      <c r="BG122" s="143"/>
      <c r="BH122" s="187"/>
      <c r="BI122" s="192" t="s">
        <v>247</v>
      </c>
      <c r="BJ122" s="143"/>
      <c r="BK122" s="187"/>
      <c r="BL122" s="192" t="s">
        <v>247</v>
      </c>
      <c r="BM122" s="143"/>
      <c r="BN122" s="187"/>
      <c r="BO122" s="192" t="s">
        <v>247</v>
      </c>
      <c r="BP122" s="143"/>
      <c r="BQ122" s="187"/>
      <c r="BR122" s="144"/>
      <c r="BT122" s="58"/>
    </row>
    <row r="123" spans="1:72" ht="32.1" customHeight="1">
      <c r="A123" s="366" t="str">
        <f>VLOOKUP(CONCATENATE("31",Konfiguration_Configuration!N$6),Daten!B$5:C$99,2,FALSE)</f>
        <v>Program Components (PCS)</v>
      </c>
      <c r="B123" s="367"/>
      <c r="C123" s="368"/>
      <c r="D123" s="226"/>
      <c r="E123" s="175"/>
      <c r="F123" s="145"/>
      <c r="G123" s="226"/>
      <c r="H123" s="175"/>
      <c r="I123" s="145"/>
      <c r="J123" s="226"/>
      <c r="K123" s="175"/>
      <c r="L123" s="145"/>
      <c r="M123" s="226"/>
      <c r="N123" s="175"/>
      <c r="O123" s="145"/>
      <c r="P123" s="226"/>
      <c r="Q123" s="175"/>
      <c r="R123" s="245"/>
      <c r="S123" s="246"/>
      <c r="T123" s="247"/>
      <c r="U123" s="226"/>
      <c r="V123" s="175"/>
      <c r="W123" s="145"/>
      <c r="X123" s="226"/>
      <c r="Y123" s="175"/>
      <c r="Z123" s="145"/>
      <c r="AA123" s="226"/>
      <c r="AB123" s="175"/>
      <c r="AC123" s="145"/>
      <c r="AD123" s="226"/>
      <c r="AE123" s="175"/>
      <c r="AF123" s="145"/>
      <c r="AG123" s="226"/>
      <c r="AH123" s="175"/>
      <c r="AI123" s="145"/>
      <c r="AJ123" s="246"/>
      <c r="AK123" s="247"/>
      <c r="AL123" s="242" t="str">
        <f>IF(Konfiguration_Configuration!$B$2=Konfiguration_Configuration!$L$1,'Notizenblatt_Feuille de juge'!AL121,'Notizenblatt_Feuille de juge'!AL122)</f>
        <v xml:space="preserve">mind 
1 Sprung  
1 Schritt  </v>
      </c>
      <c r="AM123" s="175"/>
      <c r="AN123" s="145"/>
      <c r="AO123" s="242" t="str">
        <f>IF(Konfiguration_Configuration!$B$2=Konfiguration_Configuration!$L$1,'Notizenblatt_Feuille de juge'!AO121,'Notizenblatt_Feuille de juge'!AO122)</f>
        <v xml:space="preserve">mind 
1 Sprung  
1 Schritt  </v>
      </c>
      <c r="AP123" s="175"/>
      <c r="AQ123" s="145"/>
      <c r="AR123" s="242" t="str">
        <f>IF(Konfiguration_Configuration!$B$2=Konfiguration_Configuration!$L$1,'Notizenblatt_Feuille de juge'!AR121,'Notizenblatt_Feuille de juge'!AR122)</f>
        <v xml:space="preserve">mind 
1 Sprung  
1 Schritt  </v>
      </c>
      <c r="AS123" s="175"/>
      <c r="AT123" s="145"/>
      <c r="AU123" s="242" t="str">
        <f>IF(Konfiguration_Configuration!$B$2=Konfiguration_Configuration!$L$1,'Notizenblatt_Feuille de juge'!AU121,'Notizenblatt_Feuille de juge'!AU122)</f>
        <v xml:space="preserve">mind 
1 Sprung  
1 Schritt  </v>
      </c>
      <c r="AV123" s="175"/>
      <c r="AW123" s="145"/>
      <c r="AX123" s="242" t="str">
        <f>IF(Konfiguration_Configuration!$B$2=Konfiguration_Configuration!$L$1,'Notizenblatt_Feuille de juge'!AX121,'Notizenblatt_Feuille de juge'!AX122)</f>
        <v xml:space="preserve">mind 
1 Sprung  
1 Schritt  </v>
      </c>
      <c r="AY123" s="175"/>
      <c r="AZ123" s="145"/>
      <c r="BA123" s="246"/>
      <c r="BB123" s="247"/>
      <c r="BC123" s="242" t="str">
        <f>IF(Konfiguration_Configuration!$B$2=Konfiguration_Configuration!$L$1,'Notizenblatt_Feuille de juge'!BC121,'Notizenblatt_Feuille de juge'!BC122)</f>
        <v xml:space="preserve">mind 
1 Sprung  
1 Schritt  </v>
      </c>
      <c r="BD123" s="175"/>
      <c r="BE123" s="145"/>
      <c r="BF123" s="242" t="str">
        <f>IF(Konfiguration_Configuration!$B$2=Konfiguration_Configuration!$L$1,'Notizenblatt_Feuille de juge'!BF121,'Notizenblatt_Feuille de juge'!BF122)</f>
        <v xml:space="preserve">mind 
1 Sprung  
1 Schritt  </v>
      </c>
      <c r="BG123" s="175"/>
      <c r="BH123" s="145"/>
      <c r="BI123" s="242" t="str">
        <f>IF(Konfiguration_Configuration!$B$2=Konfiguration_Configuration!$L$1,'Notizenblatt_Feuille de juge'!BI121,'Notizenblatt_Feuille de juge'!BI122)</f>
        <v xml:space="preserve">mind 
1 Sprung  
1 Schritt  </v>
      </c>
      <c r="BJ123" s="175"/>
      <c r="BK123" s="145"/>
      <c r="BL123" s="242" t="str">
        <f>IF(Konfiguration_Configuration!$B$2=Konfiguration_Configuration!$L$1,'Notizenblatt_Feuille de juge'!BL121,'Notizenblatt_Feuille de juge'!BL122)</f>
        <v xml:space="preserve">mind 
1 Sprung  
1 Schritt  </v>
      </c>
      <c r="BM123" s="175"/>
      <c r="BN123" s="145"/>
      <c r="BO123" s="242" t="str">
        <f>IF(Konfiguration_Configuration!$B$2=Konfiguration_Configuration!$L$1,'Notizenblatt_Feuille de juge'!BO121,'Notizenblatt_Feuille de juge'!BO122)</f>
        <v xml:space="preserve">mind 
1 Sprung  
1 Schritt  </v>
      </c>
      <c r="BP123" s="175"/>
      <c r="BQ123" s="145"/>
      <c r="BT123" s="58"/>
    </row>
    <row r="124" spans="1:72" ht="32.1" customHeight="1">
      <c r="A124" s="227" t="str">
        <f>VLOOKUP(CONCATENATE("32",Konfiguration_Configuration!N$6),Daten!B$5:C$99,2,FALSE)</f>
        <v>Presentation</v>
      </c>
      <c r="B124" s="176"/>
      <c r="C124" s="176"/>
      <c r="D124" s="225"/>
      <c r="E124" s="175"/>
      <c r="F124" s="145"/>
      <c r="G124" s="225"/>
      <c r="H124" s="175"/>
      <c r="I124" s="145"/>
      <c r="J124" s="225"/>
      <c r="K124" s="175"/>
      <c r="L124" s="145"/>
      <c r="M124" s="225"/>
      <c r="N124" s="175"/>
      <c r="O124" s="145"/>
      <c r="P124" s="225"/>
      <c r="Q124" s="175"/>
      <c r="R124" s="145"/>
      <c r="S124" s="176"/>
      <c r="T124" s="176"/>
      <c r="U124" s="225"/>
      <c r="V124" s="175"/>
      <c r="W124" s="145"/>
      <c r="X124" s="225"/>
      <c r="Y124" s="175"/>
      <c r="Z124" s="145"/>
      <c r="AA124" s="225"/>
      <c r="AB124" s="175"/>
      <c r="AC124" s="145"/>
      <c r="AD124" s="225"/>
      <c r="AE124" s="175"/>
      <c r="AF124" s="145"/>
      <c r="AG124" s="225"/>
      <c r="AH124" s="175"/>
      <c r="AI124" s="145"/>
      <c r="AJ124" s="176"/>
      <c r="AK124" s="176"/>
      <c r="AL124" s="243"/>
      <c r="AM124" s="175"/>
      <c r="AN124" s="145"/>
      <c r="AO124" s="243"/>
      <c r="AP124" s="175"/>
      <c r="AQ124" s="145"/>
      <c r="AR124" s="243"/>
      <c r="AS124" s="175"/>
      <c r="AT124" s="145"/>
      <c r="AU124" s="243"/>
      <c r="AV124" s="175"/>
      <c r="AW124" s="145"/>
      <c r="AX124" s="243"/>
      <c r="AY124" s="175"/>
      <c r="AZ124" s="145"/>
      <c r="BA124" s="176"/>
      <c r="BB124" s="176"/>
      <c r="BC124" s="243"/>
      <c r="BD124" s="175"/>
      <c r="BE124" s="145"/>
      <c r="BF124" s="243"/>
      <c r="BG124" s="175"/>
      <c r="BH124" s="145"/>
      <c r="BI124" s="243"/>
      <c r="BJ124" s="175"/>
      <c r="BK124" s="145"/>
      <c r="BL124" s="243"/>
      <c r="BM124" s="175"/>
      <c r="BN124" s="145"/>
      <c r="BO124" s="243"/>
      <c r="BP124" s="175"/>
      <c r="BQ124" s="145"/>
      <c r="BT124" s="58"/>
    </row>
    <row r="125" spans="1:72" ht="32.1" customHeight="1">
      <c r="A125" s="227" t="str">
        <f>VLOOKUP(CONCATENATE("33",Konfiguration_Configuration!N$6),Daten!B$5:C$99,2,FALSE)</f>
        <v>Skating Skills</v>
      </c>
      <c r="B125" s="176"/>
      <c r="C125" s="176"/>
      <c r="D125" s="225"/>
      <c r="E125" s="175"/>
      <c r="F125" s="145"/>
      <c r="G125" s="225"/>
      <c r="H125" s="175"/>
      <c r="I125" s="145"/>
      <c r="J125" s="225"/>
      <c r="K125" s="175"/>
      <c r="L125" s="145"/>
      <c r="M125" s="225"/>
      <c r="N125" s="175"/>
      <c r="O125" s="145"/>
      <c r="P125" s="225"/>
      <c r="Q125" s="175"/>
      <c r="R125" s="145"/>
      <c r="S125" s="176"/>
      <c r="T125" s="176"/>
      <c r="U125" s="225"/>
      <c r="V125" s="175"/>
      <c r="W125" s="145"/>
      <c r="X125" s="225"/>
      <c r="Y125" s="175"/>
      <c r="Z125" s="145"/>
      <c r="AA125" s="225"/>
      <c r="AB125" s="175"/>
      <c r="AC125" s="145"/>
      <c r="AD125" s="225"/>
      <c r="AE125" s="175"/>
      <c r="AF125" s="145"/>
      <c r="AG125" s="225"/>
      <c r="AH125" s="175"/>
      <c r="AI125" s="145"/>
      <c r="AJ125" s="176"/>
      <c r="AK125" s="176"/>
      <c r="AL125" s="243"/>
      <c r="AM125" s="175"/>
      <c r="AN125" s="145"/>
      <c r="AO125" s="243"/>
      <c r="AP125" s="175"/>
      <c r="AQ125" s="145"/>
      <c r="AR125" s="243"/>
      <c r="AS125" s="175"/>
      <c r="AT125" s="145"/>
      <c r="AU125" s="243"/>
      <c r="AV125" s="175"/>
      <c r="AW125" s="145"/>
      <c r="AX125" s="243"/>
      <c r="AY125" s="175"/>
      <c r="AZ125" s="145"/>
      <c r="BA125" s="176"/>
      <c r="BB125" s="176"/>
      <c r="BC125" s="243"/>
      <c r="BD125" s="175"/>
      <c r="BE125" s="145"/>
      <c r="BF125" s="243"/>
      <c r="BG125" s="175"/>
      <c r="BH125" s="145"/>
      <c r="BI125" s="243"/>
      <c r="BJ125" s="175"/>
      <c r="BK125" s="145"/>
      <c r="BL125" s="243"/>
      <c r="BM125" s="175"/>
      <c r="BN125" s="145"/>
      <c r="BO125" s="243"/>
      <c r="BP125" s="175"/>
      <c r="BQ125" s="145"/>
      <c r="BT125" s="58"/>
    </row>
    <row r="126" spans="1:72" ht="31.5" customHeight="1">
      <c r="A126" s="227">
        <f>VLOOKUP(CONCATENATE("34",Konfiguration_Configuration!N$6),Daten!B$5:C$99,2,FALSE)</f>
        <v>0</v>
      </c>
      <c r="B126" s="176"/>
      <c r="C126" s="176"/>
      <c r="D126" s="225"/>
      <c r="E126" s="175"/>
      <c r="F126" s="146"/>
      <c r="G126" s="225"/>
      <c r="H126" s="175"/>
      <c r="I126" s="146"/>
      <c r="J126" s="225"/>
      <c r="K126" s="175"/>
      <c r="L126" s="146"/>
      <c r="M126" s="225"/>
      <c r="N126" s="175"/>
      <c r="O126" s="146"/>
      <c r="P126" s="225"/>
      <c r="Q126" s="175"/>
      <c r="R126" s="146"/>
      <c r="S126" s="176"/>
      <c r="T126" s="176"/>
      <c r="U126" s="225"/>
      <c r="V126" s="175"/>
      <c r="W126" s="146"/>
      <c r="X126" s="225"/>
      <c r="Y126" s="175"/>
      <c r="Z126" s="146"/>
      <c r="AA126" s="225"/>
      <c r="AB126" s="175"/>
      <c r="AC126" s="146"/>
      <c r="AD126" s="225"/>
      <c r="AE126" s="175"/>
      <c r="AF126" s="146"/>
      <c r="AG126" s="225"/>
      <c r="AH126" s="175"/>
      <c r="AI126" s="146"/>
      <c r="AJ126" s="176"/>
      <c r="AK126" s="176"/>
      <c r="AL126" s="244"/>
      <c r="AM126" s="175"/>
      <c r="AN126" s="146"/>
      <c r="AO126" s="244"/>
      <c r="AP126" s="175"/>
      <c r="AQ126" s="146"/>
      <c r="AR126" s="244"/>
      <c r="AS126" s="175"/>
      <c r="AT126" s="146"/>
      <c r="AU126" s="244"/>
      <c r="AV126" s="175"/>
      <c r="AW126" s="146"/>
      <c r="AX126" s="244"/>
      <c r="AY126" s="175"/>
      <c r="AZ126" s="146"/>
      <c r="BA126" s="176"/>
      <c r="BB126" s="176"/>
      <c r="BC126" s="244"/>
      <c r="BD126" s="175"/>
      <c r="BE126" s="146"/>
      <c r="BF126" s="244"/>
      <c r="BG126" s="175"/>
      <c r="BH126" s="146"/>
      <c r="BI126" s="244"/>
      <c r="BJ126" s="175"/>
      <c r="BK126" s="146"/>
      <c r="BL126" s="244"/>
      <c r="BM126" s="175"/>
      <c r="BN126" s="146"/>
      <c r="BO126" s="244"/>
      <c r="BP126" s="175"/>
      <c r="BQ126" s="146"/>
      <c r="BT126" s="58"/>
    </row>
    <row r="127" spans="1:72" ht="31.5" customHeight="1">
      <c r="A127" s="222" t="str">
        <f>VLOOKUP(CONCATENATE("11",Konfiguration_Configuration!N$6),Daten!B$5:C$99,2,FALSE)</f>
        <v>Total pro Preisrichter</v>
      </c>
      <c r="B127" s="176"/>
      <c r="C127" s="176"/>
      <c r="D127" s="254"/>
      <c r="E127" s="177"/>
      <c r="F127" s="146"/>
      <c r="G127" s="254"/>
      <c r="H127" s="177"/>
      <c r="I127" s="146"/>
      <c r="J127" s="254"/>
      <c r="K127" s="177"/>
      <c r="L127" s="146"/>
      <c r="M127" s="254"/>
      <c r="N127" s="177"/>
      <c r="O127" s="146"/>
      <c r="P127" s="254"/>
      <c r="Q127" s="177"/>
      <c r="R127" s="146"/>
      <c r="S127" s="176"/>
      <c r="T127" s="176"/>
      <c r="U127" s="254"/>
      <c r="V127" s="177"/>
      <c r="W127" s="146"/>
      <c r="X127" s="254"/>
      <c r="Y127" s="177"/>
      <c r="Z127" s="146"/>
      <c r="AA127" s="254"/>
      <c r="AB127" s="177"/>
      <c r="AC127" s="146"/>
      <c r="AD127" s="254"/>
      <c r="AE127" s="177"/>
      <c r="AF127" s="146"/>
      <c r="AG127" s="254"/>
      <c r="AH127" s="177"/>
      <c r="AI127" s="146"/>
      <c r="AJ127" s="176"/>
      <c r="AK127" s="176"/>
      <c r="AL127" s="254"/>
      <c r="AM127" s="177"/>
      <c r="AN127" s="146"/>
      <c r="AO127" s="254"/>
      <c r="AP127" s="177"/>
      <c r="AQ127" s="146"/>
      <c r="AR127" s="254"/>
      <c r="AS127" s="177"/>
      <c r="AT127" s="146"/>
      <c r="AU127" s="254"/>
      <c r="AV127" s="177"/>
      <c r="AW127" s="146"/>
      <c r="AX127" s="254"/>
      <c r="AY127" s="177"/>
      <c r="AZ127" s="146"/>
      <c r="BA127" s="176"/>
      <c r="BB127" s="176"/>
      <c r="BC127" s="254"/>
      <c r="BD127" s="177"/>
      <c r="BE127" s="146"/>
      <c r="BF127" s="254"/>
      <c r="BG127" s="177"/>
      <c r="BH127" s="146"/>
      <c r="BI127" s="254"/>
      <c r="BJ127" s="177"/>
      <c r="BK127" s="146"/>
      <c r="BL127" s="254"/>
      <c r="BM127" s="177"/>
      <c r="BN127" s="146"/>
      <c r="BO127" s="254"/>
      <c r="BP127" s="177"/>
      <c r="BQ127" s="146"/>
      <c r="BT127" s="58"/>
    </row>
    <row r="128" spans="1:72" ht="32.1" customHeight="1">
      <c r="A128" s="227" t="str">
        <f>VLOOKUP(CONCATENATE("41",Konfiguration_Configuration!N$6),Daten!B$5:C$99,2,FALSE)</f>
        <v>Sturz</v>
      </c>
      <c r="B128" s="229">
        <f>VLOOKUP(CONCATENATE("41",Konfiguration_Configuration!$N$6),Daten!$B$5:$D$99,3,FALSE)</f>
        <v>-0.25</v>
      </c>
      <c r="C128" s="176"/>
      <c r="D128" s="225"/>
      <c r="E128" s="175"/>
      <c r="F128" s="146"/>
      <c r="G128" s="225"/>
      <c r="H128" s="175"/>
      <c r="I128" s="146"/>
      <c r="J128" s="225"/>
      <c r="K128" s="175"/>
      <c r="L128" s="146"/>
      <c r="M128" s="225"/>
      <c r="N128" s="175"/>
      <c r="O128" s="146"/>
      <c r="P128" s="225"/>
      <c r="Q128" s="175"/>
      <c r="R128" s="146"/>
      <c r="S128" s="229">
        <f>VLOOKUP(CONCATENATE("41",Konfiguration_Configuration!$N$6),Daten!$B$5:$D$99,3,FALSE)</f>
        <v>-0.25</v>
      </c>
      <c r="T128" s="176"/>
      <c r="U128" s="225"/>
      <c r="V128" s="175"/>
      <c r="W128" s="146"/>
      <c r="X128" s="225"/>
      <c r="Y128" s="175"/>
      <c r="Z128" s="146"/>
      <c r="AA128" s="225"/>
      <c r="AB128" s="175"/>
      <c r="AC128" s="146"/>
      <c r="AD128" s="225"/>
      <c r="AE128" s="175"/>
      <c r="AF128" s="146"/>
      <c r="AG128" s="225"/>
      <c r="AH128" s="175"/>
      <c r="AI128" s="146"/>
      <c r="AJ128" s="176"/>
      <c r="AK128" s="176"/>
      <c r="AL128" s="255"/>
      <c r="AM128" s="175"/>
      <c r="AN128" s="146"/>
      <c r="AO128" s="255"/>
      <c r="AP128" s="175"/>
      <c r="AQ128" s="146"/>
      <c r="AR128" s="255"/>
      <c r="AS128" s="175"/>
      <c r="AT128" s="146"/>
      <c r="AU128" s="255"/>
      <c r="AV128" s="175"/>
      <c r="AW128" s="146"/>
      <c r="AX128" s="255"/>
      <c r="AY128" s="175"/>
      <c r="AZ128" s="146"/>
      <c r="BA128" s="176"/>
      <c r="BB128" s="176"/>
      <c r="BC128" s="255"/>
      <c r="BD128" s="175"/>
      <c r="BE128" s="146"/>
      <c r="BF128" s="255"/>
      <c r="BG128" s="175"/>
      <c r="BH128" s="146"/>
      <c r="BI128" s="255"/>
      <c r="BJ128" s="175"/>
      <c r="BK128" s="146"/>
      <c r="BL128" s="255"/>
      <c r="BM128" s="175"/>
      <c r="BN128" s="146"/>
      <c r="BO128" s="255"/>
      <c r="BP128" s="175"/>
      <c r="BQ128" s="146"/>
      <c r="BT128" s="58"/>
    </row>
    <row r="129" spans="1:73" ht="32.1" customHeight="1">
      <c r="A129" s="222" t="str">
        <f>VLOOKUP(CONCATENATE("11",Konfiguration_Configuration!N$6),Daten!B$5:C$99,2,FALSE)</f>
        <v>Total pro Preisrichter</v>
      </c>
      <c r="B129" s="241">
        <f>VLOOKUP(CONCATENATE("55",Konfiguration_Configuration!$N$6),Daten!$B$5:$E$99,3,FALSE)</f>
        <v>4.8</v>
      </c>
      <c r="C129" s="176"/>
      <c r="D129" s="254" t="str">
        <f>VLOOKUP(CONCATENATE("13",Konfiguration_Configuration!$N$6),Daten!$B$5:$E$99,2,FALSE)</f>
        <v>1. Teil bestanden:  ja  nein</v>
      </c>
      <c r="E129" s="177"/>
      <c r="F129" s="146"/>
      <c r="G129" s="254" t="str">
        <f>VLOOKUP(CONCATENATE("13",Konfiguration_Configuration!$N$6),Daten!$B$5:$E$99,2,FALSE)</f>
        <v>1. Teil bestanden:  ja  nein</v>
      </c>
      <c r="H129" s="177"/>
      <c r="I129" s="146"/>
      <c r="J129" s="254" t="str">
        <f>VLOOKUP(CONCATENATE("13",Konfiguration_Configuration!$N$6),Daten!$B$5:$E$99,2,FALSE)</f>
        <v>1. Teil bestanden:  ja  nein</v>
      </c>
      <c r="K129" s="177"/>
      <c r="L129" s="146"/>
      <c r="M129" s="254" t="str">
        <f>VLOOKUP(CONCATENATE("13",Konfiguration_Configuration!$N$6),Daten!$B$5:$E$99,2,FALSE)</f>
        <v>1. Teil bestanden:  ja  nein</v>
      </c>
      <c r="N129" s="177"/>
      <c r="O129" s="146"/>
      <c r="P129" s="254" t="str">
        <f>VLOOKUP(CONCATENATE("13",Konfiguration_Configuration!$N$6),Daten!$B$5:$E$99,2,FALSE)</f>
        <v>1. Teil bestanden:  ja  nein</v>
      </c>
      <c r="Q129" s="177"/>
      <c r="R129" s="146"/>
      <c r="S129" s="241">
        <f>VLOOKUP(CONCATENATE("55",Konfiguration_Configuration!$N$6),Daten!$B$5:$E$99,3,FALSE)</f>
        <v>4.8</v>
      </c>
      <c r="T129" s="176"/>
      <c r="U129" s="254" t="str">
        <f>VLOOKUP(CONCATENATE("13",Konfiguration_Configuration!$N$6),Daten!$B$5:$E$99,2,FALSE)</f>
        <v>1. Teil bestanden:  ja  nein</v>
      </c>
      <c r="V129" s="177"/>
      <c r="W129" s="146"/>
      <c r="X129" s="254" t="str">
        <f>VLOOKUP(CONCATENATE("13",Konfiguration_Configuration!$N$6),Daten!$B$5:$E$99,2,FALSE)</f>
        <v>1. Teil bestanden:  ja  nein</v>
      </c>
      <c r="Y129" s="177"/>
      <c r="Z129" s="146"/>
      <c r="AA129" s="254" t="str">
        <f>VLOOKUP(CONCATENATE("13",Konfiguration_Configuration!$N$6),Daten!$B$5:$E$99,2,FALSE)</f>
        <v>1. Teil bestanden:  ja  nein</v>
      </c>
      <c r="AB129" s="177"/>
      <c r="AC129" s="146"/>
      <c r="AD129" s="254" t="str">
        <f>VLOOKUP(CONCATENATE("13",Konfiguration_Configuration!$N$6),Daten!$B$5:$E$99,2,FALSE)</f>
        <v>1. Teil bestanden:  ja  nein</v>
      </c>
      <c r="AE129" s="177"/>
      <c r="AF129" s="146"/>
      <c r="AG129" s="254" t="str">
        <f>VLOOKUP(CONCATENATE("13",Konfiguration_Configuration!$N$6),Daten!$B$5:$E$99,2,FALSE)</f>
        <v>1. Teil bestanden:  ja  nein</v>
      </c>
      <c r="AH129" s="177"/>
      <c r="AI129" s="146"/>
      <c r="AJ129" s="176"/>
      <c r="AK129" s="176"/>
      <c r="AL129" s="254" t="str">
        <f>VLOOKUP(CONCATENATE("13",Konfiguration_Configuration!$N$6),Daten!$B$5:$E$99,2,FALSE)</f>
        <v>1. Teil bestanden:  ja  nein</v>
      </c>
      <c r="AM129" s="177"/>
      <c r="AN129" s="146"/>
      <c r="AO129" s="254" t="str">
        <f>VLOOKUP(CONCATENATE("13",Konfiguration_Configuration!$N$6),Daten!$B$5:$E$99,2,FALSE)</f>
        <v>1. Teil bestanden:  ja  nein</v>
      </c>
      <c r="AP129" s="177"/>
      <c r="AQ129" s="146"/>
      <c r="AR129" s="254" t="str">
        <f>VLOOKUP(CONCATENATE("13",Konfiguration_Configuration!$N$6),Daten!$B$5:$E$99,2,FALSE)</f>
        <v>1. Teil bestanden:  ja  nein</v>
      </c>
      <c r="AS129" s="177"/>
      <c r="AT129" s="146"/>
      <c r="AU129" s="254" t="str">
        <f>VLOOKUP(CONCATENATE("13",Konfiguration_Configuration!$N$6),Daten!$B$5:$E$99,2,FALSE)</f>
        <v>1. Teil bestanden:  ja  nein</v>
      </c>
      <c r="AV129" s="177"/>
      <c r="AW129" s="146"/>
      <c r="AX129" s="254" t="str">
        <f>VLOOKUP(CONCATENATE("13",Konfiguration_Configuration!$N$6),Daten!$B$5:$E$99,2,FALSE)</f>
        <v>1. Teil bestanden:  ja  nein</v>
      </c>
      <c r="AY129" s="177"/>
      <c r="AZ129" s="146"/>
      <c r="BA129" s="176"/>
      <c r="BB129" s="176"/>
      <c r="BC129" s="254" t="str">
        <f>VLOOKUP(CONCATENATE("13",Konfiguration_Configuration!$N$6),Daten!$B$5:$E$99,2,FALSE)</f>
        <v>1. Teil bestanden:  ja  nein</v>
      </c>
      <c r="BD129" s="177"/>
      <c r="BE129" s="146"/>
      <c r="BF129" s="254" t="str">
        <f>VLOOKUP(CONCATENATE("13",Konfiguration_Configuration!$N$6),Daten!$B$5:$E$99,2,FALSE)</f>
        <v>1. Teil bestanden:  ja  nein</v>
      </c>
      <c r="BG129" s="177"/>
      <c r="BH129" s="146"/>
      <c r="BI129" s="254" t="str">
        <f>VLOOKUP(CONCATENATE("13",Konfiguration_Configuration!$N$6),Daten!$B$5:$E$99,2,FALSE)</f>
        <v>1. Teil bestanden:  ja  nein</v>
      </c>
      <c r="BJ129" s="177"/>
      <c r="BK129" s="146"/>
      <c r="BL129" s="254" t="str">
        <f>VLOOKUP(CONCATENATE("13",Konfiguration_Configuration!$N$6),Daten!$B$5:$E$99,2,FALSE)</f>
        <v>1. Teil bestanden:  ja  nein</v>
      </c>
      <c r="BM129" s="177"/>
      <c r="BN129" s="146"/>
      <c r="BO129" s="254" t="str">
        <f>VLOOKUP(CONCATENATE("13",Konfiguration_Configuration!$N$6),Daten!$B$5:$E$99,2,FALSE)</f>
        <v>1. Teil bestanden:  ja  nein</v>
      </c>
      <c r="BP129" s="177"/>
      <c r="BQ129" s="146"/>
      <c r="BT129" s="58"/>
    </row>
    <row r="130" spans="1:73" ht="15" customHeight="1">
      <c r="D130" s="256"/>
      <c r="U130" s="256"/>
      <c r="BT130" s="58"/>
    </row>
    <row r="131" spans="1:73" ht="15" customHeight="1">
      <c r="D131" s="156" t="str">
        <f>VLOOKUP(CONCATENATE("51",Konfiguration_Configuration!$N$6),Daten!$B$5:$C$99,2,FALSE)</f>
        <v>2 Komponenten:</v>
      </c>
      <c r="U131" s="156" t="str">
        <f>VLOOKUP(CONCATENATE("51",Konfiguration_Configuration!$N$6),Daten!$B$5:$C168,2,FALSE)</f>
        <v>2 Komponenten:</v>
      </c>
      <c r="BT131" s="58"/>
    </row>
    <row r="132" spans="1:73" ht="15" customHeight="1">
      <c r="D132" s="156" t="str">
        <f>VLOOKUP(CONCATENATE("52",Konfiguration_Configuration!$N$6),Daten!$B$5:$C$99,2,FALSE)</f>
        <v>Die Punktzahl beträgt für den (0,6 pro Schritt) TES: 1,8 Punkte</v>
      </c>
      <c r="E132" s="27"/>
      <c r="F132" s="27"/>
      <c r="G132" s="27"/>
      <c r="H132" s="27"/>
      <c r="I132" s="27"/>
      <c r="J132" s="27"/>
      <c r="K132" s="27"/>
      <c r="L132" s="27"/>
      <c r="M132" s="27"/>
      <c r="N132" s="27"/>
      <c r="U132" s="156" t="str">
        <f>VLOOKUP(CONCATENATE("52",Konfiguration_Configuration!$N$6),Daten!$B$5:$C$99,2,FALSE)</f>
        <v>Die Punktzahl beträgt für den (0,6 pro Schritt) TES: 1,8 Punkte</v>
      </c>
      <c r="V132" s="27"/>
      <c r="W132" s="27"/>
      <c r="X132" s="27"/>
      <c r="Y132" s="27"/>
      <c r="Z132" s="27"/>
      <c r="AA132" s="27"/>
      <c r="AB132" s="27"/>
      <c r="AC132" s="27"/>
      <c r="AD132" s="27"/>
      <c r="AE132" s="27"/>
      <c r="AL132" s="156" t="str">
        <f>VLOOKUP(CONCATENATE("51",Konfiguration_Configuration!$N$6),Daten!$B$5:$C$99,2,FALSE)</f>
        <v>2 Komponenten:</v>
      </c>
      <c r="AM132" s="27"/>
      <c r="AN132" s="27"/>
      <c r="AO132" s="27"/>
      <c r="AP132" s="27"/>
      <c r="AQ132" s="27"/>
      <c r="AR132" s="27"/>
      <c r="AS132" s="27"/>
      <c r="AT132" s="27"/>
      <c r="AU132" s="27"/>
      <c r="AV132" s="27"/>
      <c r="BC132" s="156" t="str">
        <f>VLOOKUP(CONCATENATE("51",Konfiguration_Configuration!$N$6),Daten!$B$5:$C$99,2,FALSE)</f>
        <v>2 Komponenten:</v>
      </c>
      <c r="BD132" s="27"/>
      <c r="BE132" s="27"/>
      <c r="BF132" s="27"/>
      <c r="BG132" s="27"/>
      <c r="BH132" s="27"/>
      <c r="BI132" s="27"/>
      <c r="BJ132" s="27"/>
      <c r="BK132" s="27"/>
      <c r="BL132" s="27"/>
      <c r="BM132" s="27"/>
    </row>
    <row r="133" spans="1:73" ht="15" customHeight="1">
      <c r="D133" s="156" t="str">
        <f>VLOOKUP(CONCATENATE("53",Konfiguration_Configuration!$N$6),Daten!$B$5:$C$99,2,FALSE)</f>
        <v>und einen Durchschnitt von 1,5 x 2 PCS: 3,0 Punkte</v>
      </c>
      <c r="E133" s="27"/>
      <c r="F133" s="27"/>
      <c r="G133" s="27"/>
      <c r="H133" s="27"/>
      <c r="I133" s="27"/>
      <c r="J133" s="27"/>
      <c r="K133" s="27"/>
      <c r="L133" s="27"/>
      <c r="M133" s="27"/>
      <c r="N133" s="27"/>
      <c r="U133" s="156" t="str">
        <f>VLOOKUP(CONCATENATE("53",Konfiguration_Configuration!$N$6),Daten!$B$5:$C$99,2,FALSE)</f>
        <v>und einen Durchschnitt von 1,5 x 2 PCS: 3,0 Punkte</v>
      </c>
      <c r="V133" s="27"/>
      <c r="W133" s="27"/>
      <c r="X133" s="27"/>
      <c r="Y133" s="27"/>
      <c r="Z133" s="27"/>
      <c r="AA133" s="27"/>
      <c r="AB133" s="27"/>
      <c r="AC133" s="27"/>
      <c r="AD133" s="27"/>
      <c r="AE133" s="27"/>
      <c r="AL133" s="156" t="str">
        <f>VLOOKUP(CONCATENATE("52",Konfiguration_Configuration!$N$6),Daten!$B$5:$C$99,2,FALSE)</f>
        <v>Die Punktzahl beträgt für den (0,6 pro Schritt) TES: 1,8 Punkte</v>
      </c>
      <c r="AM133" s="27"/>
      <c r="AN133" s="27"/>
      <c r="AO133" s="27"/>
      <c r="AP133" s="27"/>
      <c r="AQ133" s="27"/>
      <c r="AR133" s="27"/>
      <c r="AS133" s="27"/>
      <c r="AT133" s="27"/>
      <c r="AU133" s="27"/>
      <c r="AV133" s="27"/>
      <c r="BC133" s="156" t="str">
        <f>VLOOKUP(CONCATENATE("52",Konfiguration_Configuration!$N$6),Daten!$B$5:$C$99,2,FALSE)</f>
        <v>Die Punktzahl beträgt für den (0,6 pro Schritt) TES: 1,8 Punkte</v>
      </c>
      <c r="BD133" s="27"/>
      <c r="BE133" s="27"/>
      <c r="BF133" s="27"/>
      <c r="BG133" s="27"/>
      <c r="BH133" s="27"/>
      <c r="BI133" s="27"/>
      <c r="BJ133" s="27"/>
      <c r="BK133" s="27"/>
      <c r="BL133" s="27"/>
      <c r="BM133" s="27"/>
    </row>
    <row r="134" spans="1:73" ht="15" customHeight="1">
      <c r="D134" s="156" t="str">
        <f>VLOOKUP(CONCATENATE("54",Konfiguration_Configuration!$N$6),Daten!$B$5:$C$99,2,FALSE)</f>
        <v>Sturz: (-0,25 pro Sturz)</v>
      </c>
      <c r="E134" s="27"/>
      <c r="F134" s="27"/>
      <c r="G134" s="27"/>
      <c r="H134" s="27"/>
      <c r="I134" s="27"/>
      <c r="J134" s="27"/>
      <c r="K134" s="27"/>
      <c r="L134" s="27"/>
      <c r="M134" s="27"/>
      <c r="U134" s="156" t="str">
        <f>VLOOKUP(CONCATENATE("54",Konfiguration_Configuration!$N$6),Daten!$B$5:$C$99,2,FALSE)</f>
        <v>Sturz: (-0,25 pro Sturz)</v>
      </c>
      <c r="V134" s="27"/>
      <c r="W134" s="27"/>
      <c r="X134" s="27"/>
      <c r="Y134" s="27"/>
      <c r="Z134" s="27"/>
      <c r="AA134" s="27"/>
      <c r="AB134" s="27"/>
      <c r="AC134" s="27"/>
      <c r="AD134" s="27"/>
      <c r="AL134" s="156" t="str">
        <f>VLOOKUP(CONCATENATE("53",Konfiguration_Configuration!$N$6),Daten!$B$5:$C$99,2,FALSE)</f>
        <v>und einen Durchschnitt von 1,5 x 2 PCS: 3,0 Punkte</v>
      </c>
      <c r="AM134" s="27"/>
      <c r="AN134" s="27"/>
      <c r="AO134" s="27"/>
      <c r="AP134" s="27"/>
      <c r="AQ134" s="27"/>
      <c r="AR134" s="27"/>
      <c r="AS134" s="27"/>
      <c r="AT134" s="27"/>
      <c r="AU134" s="27"/>
      <c r="BC134" s="156" t="str">
        <f>VLOOKUP(CONCATENATE("53",Konfiguration_Configuration!$N$6),Daten!$B$5:$C$99,2,FALSE)</f>
        <v>und einen Durchschnitt von 1,5 x 2 PCS: 3,0 Punkte</v>
      </c>
      <c r="BD134" s="27"/>
      <c r="BE134" s="27"/>
      <c r="BF134" s="27"/>
      <c r="BG134" s="27"/>
      <c r="BH134" s="27"/>
      <c r="BI134" s="27"/>
      <c r="BJ134" s="27"/>
      <c r="BK134" s="27"/>
      <c r="BL134" s="27"/>
    </row>
    <row r="135" spans="1:73" ht="15" customHeight="1">
      <c r="D135" s="156" t="str">
        <f>VLOOKUP(CONCATENATE("55",Konfiguration_Configuration!$N$6),Daten!$B$5:$C$99,2,FALSE)</f>
        <v>zum Bestehen braucht der Läufer: TSS 4,8 Punkte</v>
      </c>
      <c r="E135" s="27"/>
      <c r="F135" s="27"/>
      <c r="G135" s="27"/>
      <c r="H135" s="27"/>
      <c r="I135" s="27"/>
      <c r="J135" s="27"/>
      <c r="K135" s="27"/>
      <c r="L135" s="27"/>
      <c r="M135" s="27"/>
      <c r="U135" s="156" t="str">
        <f>VLOOKUP(CONCATENATE("55",Konfiguration_Configuration!$N$6),Daten!$B$5:$C$99,2,FALSE)</f>
        <v>zum Bestehen braucht der Läufer: TSS 4,8 Punkte</v>
      </c>
      <c r="V135" s="27"/>
      <c r="W135" s="27"/>
      <c r="X135" s="27"/>
      <c r="Y135" s="27"/>
      <c r="Z135" s="27"/>
      <c r="AA135" s="27"/>
      <c r="AB135" s="27"/>
      <c r="AC135" s="27"/>
      <c r="AD135" s="27"/>
      <c r="AL135" s="156" t="str">
        <f>VLOOKUP(CONCATENATE("54",Konfiguration_Configuration!$N$6),Daten!$B$5:$C$99,2,FALSE)</f>
        <v>Sturz: (-0,25 pro Sturz)</v>
      </c>
      <c r="AM135" s="27"/>
      <c r="AN135" s="27"/>
      <c r="AO135" s="27"/>
      <c r="AP135" s="27"/>
      <c r="AQ135" s="27"/>
      <c r="AR135" s="27"/>
      <c r="AS135" s="27"/>
      <c r="AT135" s="27"/>
      <c r="AU135" s="27"/>
      <c r="BC135" s="156" t="str">
        <f>VLOOKUP(CONCATENATE("54",Konfiguration_Configuration!$N$6),Daten!$B$5:$C$99,2,FALSE)</f>
        <v>Sturz: (-0,25 pro Sturz)</v>
      </c>
      <c r="BD135" s="27"/>
      <c r="BE135" s="27"/>
      <c r="BF135" s="27"/>
      <c r="BG135" s="27"/>
      <c r="BH135" s="27"/>
      <c r="BI135" s="27"/>
      <c r="BJ135" s="27"/>
      <c r="BK135" s="27"/>
      <c r="BL135" s="27"/>
    </row>
    <row r="136" spans="1:73" ht="15" customHeight="1">
      <c r="D136" s="156"/>
      <c r="E136" s="27"/>
      <c r="AL136" s="156" t="str">
        <f>VLOOKUP(CONCATENATE("55",Konfiguration_Configuration!$N$6),Daten!$B$5:$C$99,2,FALSE)</f>
        <v>zum Bestehen braucht der Läufer: TSS 4,8 Punkte</v>
      </c>
      <c r="BC136" s="156" t="str">
        <f>VLOOKUP(CONCATENATE("55",Konfiguration_Configuration!$N$6),Daten!$B$5:$C$99,2,FALSE)</f>
        <v>zum Bestehen braucht der Läufer: TSS 4,8 Punkte</v>
      </c>
    </row>
    <row r="137" spans="1:73">
      <c r="E137" s="365" t="str">
        <f>VLOOKUP(CONCATENATE("56",Konfiguration_Configuration!N$6),Daten!B$5:E$99,2,FALSE)</f>
        <v>Unterschrift des Preisrichters __________________________________</v>
      </c>
      <c r="F137" s="365"/>
      <c r="G137" s="365"/>
      <c r="H137" s="365"/>
      <c r="I137" s="365"/>
      <c r="J137" s="365"/>
      <c r="K137" s="365"/>
      <c r="L137" s="365"/>
      <c r="M137" s="365"/>
      <c r="V137" s="365" t="str">
        <f>VLOOKUP(CONCATENATE("56",Konfiguration_Configuration!N$6),Daten!B$5:E$99,2,FALSE)</f>
        <v>Unterschrift des Preisrichters __________________________________</v>
      </c>
      <c r="W137" s="365"/>
      <c r="X137" s="365"/>
      <c r="Y137" s="365"/>
      <c r="Z137" s="365"/>
      <c r="AA137" s="365"/>
      <c r="AB137" s="365"/>
      <c r="AC137" s="365"/>
      <c r="AD137" s="365"/>
      <c r="AM137" s="365" t="str">
        <f>VLOOKUP(CONCATENATE("56",Konfiguration_Configuration!N$6),Daten!B$5:E$99,2,FALSE)</f>
        <v>Unterschrift des Preisrichters __________________________________</v>
      </c>
      <c r="AN137" s="365"/>
      <c r="AO137" s="365"/>
      <c r="AP137" s="365"/>
      <c r="AQ137" s="365"/>
      <c r="AR137" s="365"/>
      <c r="AS137" s="365"/>
      <c r="AT137" s="365"/>
      <c r="AU137" s="365"/>
      <c r="BD137" s="365" t="str">
        <f>VLOOKUP(CONCATENATE("56",Konfiguration_Configuration!N$6),Daten!B$5:E$99,2,FALSE)</f>
        <v>Unterschrift des Preisrichters __________________________________</v>
      </c>
      <c r="BE137" s="365"/>
      <c r="BF137" s="365"/>
      <c r="BG137" s="365"/>
      <c r="BH137" s="365"/>
      <c r="BI137" s="365"/>
      <c r="BJ137" s="365"/>
      <c r="BK137" s="365"/>
      <c r="BL137" s="365"/>
    </row>
    <row r="138" spans="1:73">
      <c r="A138" s="369" t="str">
        <f>Lizenzvermerk</f>
        <v>Version 1.3;
06.01.2024</v>
      </c>
      <c r="B138" s="370"/>
      <c r="C138" s="370"/>
      <c r="E138" s="365"/>
      <c r="F138" s="365"/>
      <c r="G138" s="365"/>
      <c r="H138" s="365"/>
      <c r="I138" s="365"/>
      <c r="J138" s="365"/>
      <c r="K138" s="365"/>
      <c r="L138" s="365"/>
      <c r="M138" s="365"/>
      <c r="V138" s="365"/>
      <c r="W138" s="365"/>
      <c r="X138" s="365"/>
      <c r="Y138" s="365"/>
      <c r="Z138" s="365"/>
      <c r="AA138" s="365"/>
      <c r="AB138" s="365"/>
      <c r="AC138" s="365"/>
      <c r="AD138" s="365"/>
      <c r="AM138" s="365"/>
      <c r="AN138" s="365"/>
      <c r="AO138" s="365"/>
      <c r="AP138" s="365"/>
      <c r="AQ138" s="365"/>
      <c r="AR138" s="365"/>
      <c r="AS138" s="365"/>
      <c r="AT138" s="365"/>
      <c r="AU138" s="365"/>
      <c r="BD138" s="365"/>
      <c r="BE138" s="365"/>
      <c r="BF138" s="365"/>
      <c r="BG138" s="365"/>
      <c r="BH138" s="365"/>
      <c r="BI138" s="365"/>
      <c r="BJ138" s="365"/>
      <c r="BK138" s="365"/>
      <c r="BL138" s="365"/>
    </row>
    <row r="139" spans="1:73" s="17" customFormat="1" ht="24.9" customHeight="1">
      <c r="A139" s="193" t="str">
        <f>CONCATENATE("A1:",Konfiguration_Configuration!N180,"159")</f>
        <v>A1:159</v>
      </c>
      <c r="B139" s="121"/>
      <c r="C139" s="121"/>
      <c r="D139" s="121"/>
      <c r="E139" s="122"/>
      <c r="F139" s="122"/>
      <c r="K139" s="123"/>
      <c r="L139" s="123"/>
      <c r="S139" s="121"/>
      <c r="T139" s="121"/>
      <c r="AJ139" s="121"/>
      <c r="AK139" s="121"/>
      <c r="BA139" s="121"/>
      <c r="BB139" s="121"/>
      <c r="BS139" s="26"/>
      <c r="BT139" s="26"/>
    </row>
    <row r="140" spans="1:73" s="18" customFormat="1" ht="15.75" customHeight="1">
      <c r="A140" s="114"/>
      <c r="B140" s="114"/>
      <c r="C140" s="114"/>
      <c r="D140" s="125" t="s">
        <v>197</v>
      </c>
      <c r="E140" s="125"/>
      <c r="F140" s="125"/>
      <c r="S140" s="114"/>
      <c r="T140" s="114"/>
      <c r="AJ140" s="114"/>
      <c r="AK140" s="114"/>
      <c r="BA140" s="114"/>
      <c r="BB140" s="114"/>
      <c r="BS140" s="55"/>
      <c r="BT140" s="55"/>
    </row>
    <row r="141" spans="1:73" ht="15.6">
      <c r="A141" s="126" t="str">
        <f>Konfiguration_Configuration!E$3</f>
        <v>Testname</v>
      </c>
      <c r="B141" s="127" t="str">
        <f>IF(Konfiguration_Configuration!$B$3="","",Konfiguration_Configuration!$B$3)</f>
        <v>SIS Inter-Bronze Stiltest</v>
      </c>
      <c r="C141" s="127"/>
      <c r="D141" s="127"/>
      <c r="E141" s="126"/>
      <c r="F141" s="126"/>
      <c r="G141" s="128" t="str">
        <f>Konfiguration_Configuration!J$12</f>
        <v>SchiedsrichterIn</v>
      </c>
      <c r="H141" s="178" t="str">
        <f>IF(Konfiguration_Configuration!$B$12="","",Konfiguration_Configuration!$B$12)&amp;IF(Konfiguration_Configuration!$E$12="","",", "&amp;Konfiguration_Configuration!$E$12)&amp;IF(Konfiguration_Configuration!$H$12="","",CONCATENATE(" (",Konfiguration_Configuration!$H$11," ",Konfiguration_Configuration!$H$12&amp;")"))</f>
        <v/>
      </c>
      <c r="I141" s="178"/>
      <c r="J141" s="178"/>
      <c r="S141" s="127" t="str">
        <f>IF(Konfiguration_Configuration!$B$3="","",Konfiguration_Configuration!$B$3)</f>
        <v>SIS Inter-Bronze Stiltest</v>
      </c>
      <c r="T141" s="127"/>
      <c r="U141" s="147"/>
      <c r="V141" s="147"/>
      <c r="X141" s="128" t="str">
        <f>Konfiguration_Configuration!$J$12</f>
        <v>SchiedsrichterIn</v>
      </c>
      <c r="Y141" s="178" t="str">
        <f>H141</f>
        <v/>
      </c>
      <c r="Z141" s="178"/>
      <c r="AA141" s="178"/>
      <c r="AJ141" s="127" t="str">
        <f>IF(Konfiguration_Configuration!$B$3="","",Konfiguration_Configuration!$B$3)</f>
        <v>SIS Inter-Bronze Stiltest</v>
      </c>
      <c r="AK141" s="127"/>
      <c r="AL141" s="147"/>
      <c r="AM141" s="147"/>
      <c r="AO141" s="128" t="str">
        <f>Konfiguration_Configuration!$J$12</f>
        <v>SchiedsrichterIn</v>
      </c>
      <c r="AP141" s="178" t="str">
        <f>H141</f>
        <v/>
      </c>
      <c r="AQ141" s="178"/>
      <c r="AR141" s="178"/>
      <c r="BA141" s="127" t="str">
        <f>IF(Konfiguration_Configuration!$B$3="","",Konfiguration_Configuration!$B$3)</f>
        <v>SIS Inter-Bronze Stiltest</v>
      </c>
      <c r="BB141" s="127"/>
      <c r="BC141" s="147"/>
      <c r="BD141" s="147"/>
      <c r="BF141" s="128" t="str">
        <f>Konfiguration_Configuration!$J$12</f>
        <v>SchiedsrichterIn</v>
      </c>
      <c r="BG141" s="178" t="str">
        <f>H141</f>
        <v/>
      </c>
      <c r="BH141" s="178"/>
      <c r="BI141"/>
    </row>
    <row r="142" spans="1:73" ht="15" customHeight="1">
      <c r="A142" s="126" t="str">
        <f>Konfiguration_Configuration!E$4</f>
        <v>Austragungsort</v>
      </c>
      <c r="B142" s="127" t="str">
        <f>IF(Konfiguration_Configuration!$B$4="","",Konfiguration_Configuration!$B$4)</f>
        <v/>
      </c>
      <c r="C142" s="127"/>
      <c r="D142" s="127"/>
      <c r="E142" s="126"/>
      <c r="F142" s="126"/>
      <c r="G142" s="128" t="str">
        <f>Konfiguration_Configuration!J$13</f>
        <v>PreisrichterIn 2</v>
      </c>
      <c r="H142" s="178" t="str">
        <f>IF(Konfiguration_Configuration!$B$13="","",Konfiguration_Configuration!$B$13)&amp;IF(Konfiguration_Configuration!$E$13="","",", "&amp;Konfiguration_Configuration!$E$13)&amp;IF(Konfiguration_Configuration!$H$13="","",CONCATENATE(" (",Konfiguration_Configuration!$H$11," ",Konfiguration_Configuration!$H$13&amp;")"))</f>
        <v/>
      </c>
      <c r="I142" s="178"/>
      <c r="J142" s="178"/>
      <c r="S142" s="127" t="str">
        <f>IF(Konfiguration_Configuration!$B$4="","",Konfiguration_Configuration!$B$4)</f>
        <v/>
      </c>
      <c r="T142" s="127"/>
      <c r="U142" s="147"/>
      <c r="V142" s="147"/>
      <c r="X142" s="128" t="str">
        <f>Konfiguration_Configuration!$J$13</f>
        <v>PreisrichterIn 2</v>
      </c>
      <c r="Y142" s="178" t="str">
        <f t="shared" ref="Y142:Y144" si="13">H142</f>
        <v/>
      </c>
      <c r="Z142" s="178"/>
      <c r="AA142" s="178"/>
      <c r="AJ142" s="127" t="str">
        <f>IF(Konfiguration_Configuration!$B$4="","",Konfiguration_Configuration!$B$4)</f>
        <v/>
      </c>
      <c r="AK142" s="127"/>
      <c r="AL142" s="147"/>
      <c r="AM142" s="147"/>
      <c r="AO142" s="128" t="str">
        <f>Konfiguration_Configuration!$J$13</f>
        <v>PreisrichterIn 2</v>
      </c>
      <c r="AP142" s="178" t="str">
        <f t="shared" ref="AP142:AP144" si="14">H142</f>
        <v/>
      </c>
      <c r="AQ142" s="178"/>
      <c r="AR142" s="178"/>
      <c r="BA142" s="127" t="str">
        <f>IF(Konfiguration_Configuration!$B$4="","",Konfiguration_Configuration!$B$4)</f>
        <v/>
      </c>
      <c r="BB142" s="127"/>
      <c r="BC142" s="147"/>
      <c r="BD142" s="147"/>
      <c r="BF142" s="128" t="str">
        <f>Konfiguration_Configuration!$J$13</f>
        <v>PreisrichterIn 2</v>
      </c>
      <c r="BG142" s="178" t="str">
        <f t="shared" ref="BG142:BG144" si="15">H142</f>
        <v/>
      </c>
      <c r="BH142" s="178"/>
      <c r="BI142"/>
      <c r="BS142" s="56"/>
      <c r="BT142" s="56"/>
      <c r="BU142" s="130"/>
    </row>
    <row r="143" spans="1:73" ht="15.6">
      <c r="A143" s="126" t="str">
        <f>Konfiguration_Configuration!E$5</f>
        <v>Datum</v>
      </c>
      <c r="B143" s="364" t="str">
        <f>IF(Konfiguration_Configuration!$B$5="","",Konfiguration_Configuration!$B$5)</f>
        <v/>
      </c>
      <c r="C143" s="357"/>
      <c r="D143" s="127"/>
      <c r="E143" s="126"/>
      <c r="F143" s="126"/>
      <c r="G143" s="252" t="str">
        <f>Konfiguration_Configuration!J$14</f>
        <v>PreisrichterIn 3</v>
      </c>
      <c r="H143" s="178" t="str">
        <f>IF(Konfiguration_Configuration!$B$14="","",Konfiguration_Configuration!$B$14)&amp;IF(Konfiguration_Configuration!$E$14="","",", "&amp;Konfiguration_Configuration!$E$14)&amp;IF(Konfiguration_Configuration!$H$14="","",CONCATENATE(" (",Konfiguration_Configuration!$H$11," ",Konfiguration_Configuration!$H$14&amp;")"))</f>
        <v/>
      </c>
      <c r="I143" s="178"/>
      <c r="J143" s="178"/>
      <c r="S143" s="356" t="str">
        <f>IF(Konfiguration_Configuration!$B$5="","",Konfiguration_Configuration!$B$5)</f>
        <v/>
      </c>
      <c r="T143" s="357"/>
      <c r="U143" s="147"/>
      <c r="V143" s="147"/>
      <c r="X143" s="252" t="str">
        <f>Konfiguration_Configuration!$J$14</f>
        <v>PreisrichterIn 3</v>
      </c>
      <c r="Y143" s="178" t="str">
        <f t="shared" si="13"/>
        <v/>
      </c>
      <c r="Z143" s="178"/>
      <c r="AA143" s="178"/>
      <c r="AJ143" s="356" t="str">
        <f>IF(Konfiguration_Configuration!$B$5="","",Konfiguration_Configuration!$B$5)</f>
        <v/>
      </c>
      <c r="AK143" s="357"/>
      <c r="AL143" s="147"/>
      <c r="AM143" s="147"/>
      <c r="AO143" s="252" t="str">
        <f>Konfiguration_Configuration!$J$14</f>
        <v>PreisrichterIn 3</v>
      </c>
      <c r="AP143" s="178" t="str">
        <f t="shared" si="14"/>
        <v/>
      </c>
      <c r="AQ143" s="178"/>
      <c r="AR143" s="178"/>
      <c r="BA143" s="356" t="str">
        <f>IF(Konfiguration_Configuration!$B$5="","",Konfiguration_Configuration!$B$5)</f>
        <v/>
      </c>
      <c r="BB143" s="357"/>
      <c r="BC143" s="147"/>
      <c r="BD143" s="147"/>
      <c r="BF143" s="252" t="str">
        <f>Konfiguration_Configuration!$J$14</f>
        <v>PreisrichterIn 3</v>
      </c>
      <c r="BG143" s="178" t="str">
        <f t="shared" si="15"/>
        <v/>
      </c>
      <c r="BH143" s="178"/>
      <c r="BI143"/>
      <c r="BT143" s="56"/>
      <c r="BU143" s="130"/>
    </row>
    <row r="144" spans="1:73" ht="15.6">
      <c r="A144" s="126" t="str">
        <f>Konfiguration_Configuration!E$6</f>
        <v>Testklasse</v>
      </c>
      <c r="B144" s="127">
        <f>IF(Konfiguration_Configuration!$B$6="","",Konfiguration_Configuration!$B$6)</f>
        <v>6</v>
      </c>
      <c r="C144" s="127"/>
      <c r="D144" s="127"/>
      <c r="E144" s="126"/>
      <c r="F144" s="126"/>
      <c r="G144" s="128" t="str">
        <f>Konfiguration_Configuration!J$15</f>
        <v>Verantwortliche/r der Tests</v>
      </c>
      <c r="H144" s="178" t="str">
        <f>IF(Konfiguration_Configuration!$B$15="","",Konfiguration_Configuration!$B$15)&amp;IF(Konfiguration_Configuration!$E$15="","",", "&amp;Konfiguration_Configuration!$E$15)&amp;IF(Konfiguration_Configuration!$H$15="","",CONCATENATE(" (",Konfiguration_Configuration!$H$11," ",Konfiguration_Configuration!$H$15&amp;")"))</f>
        <v/>
      </c>
      <c r="I144" s="178"/>
      <c r="J144" s="178"/>
      <c r="S144" s="127">
        <f>IF(Konfiguration_Configuration!$B$6="","",Konfiguration_Configuration!$B$6)</f>
        <v>6</v>
      </c>
      <c r="T144" s="127"/>
      <c r="U144" s="147"/>
      <c r="V144" s="147"/>
      <c r="X144" s="128" t="str">
        <f>Konfiguration_Configuration!$J$15</f>
        <v>Verantwortliche/r der Tests</v>
      </c>
      <c r="Y144" s="178" t="str">
        <f t="shared" si="13"/>
        <v/>
      </c>
      <c r="Z144" s="178"/>
      <c r="AA144" s="178"/>
      <c r="AJ144" s="127">
        <f>IF(Konfiguration_Configuration!$B$6="","",Konfiguration_Configuration!$B$6)</f>
        <v>6</v>
      </c>
      <c r="AK144" s="127"/>
      <c r="AL144" s="147"/>
      <c r="AM144" s="147"/>
      <c r="AO144" s="128" t="str">
        <f>Konfiguration_Configuration!$J$15</f>
        <v>Verantwortliche/r der Tests</v>
      </c>
      <c r="AP144" s="178" t="str">
        <f t="shared" si="14"/>
        <v/>
      </c>
      <c r="AQ144" s="178"/>
      <c r="AR144" s="178"/>
      <c r="BA144" s="127">
        <f>IF(Konfiguration_Configuration!$B$6="","",Konfiguration_Configuration!$B$6)</f>
        <v>6</v>
      </c>
      <c r="BB144" s="127"/>
      <c r="BC144" s="147"/>
      <c r="BD144" s="147"/>
      <c r="BF144" s="128" t="str">
        <f>Konfiguration_Configuration!$J$15</f>
        <v>Verantwortliche/r der Tests</v>
      </c>
      <c r="BG144" s="178" t="str">
        <f t="shared" si="15"/>
        <v/>
      </c>
      <c r="BH144" s="178"/>
      <c r="BI144"/>
      <c r="BT144" s="56"/>
      <c r="BU144" s="130"/>
    </row>
    <row r="145" spans="1:73" ht="15" customHeight="1" collapsed="1">
      <c r="A145" s="124"/>
      <c r="B145" s="124"/>
      <c r="C145" s="124"/>
      <c r="D145" s="126"/>
      <c r="E145" s="126"/>
      <c r="F145" s="126"/>
      <c r="G145" s="128"/>
      <c r="H145" s="128"/>
      <c r="I145" s="128"/>
      <c r="Q145" s="157"/>
      <c r="R145" s="157"/>
      <c r="S145" s="124"/>
      <c r="T145" s="124"/>
      <c r="AH145" s="157"/>
      <c r="AI145" s="157"/>
      <c r="AJ145" s="124"/>
      <c r="AK145" s="124"/>
      <c r="AY145" s="171"/>
      <c r="BA145" s="124"/>
      <c r="BB145" s="124"/>
      <c r="BP145" s="157"/>
      <c r="BQ145" s="157"/>
      <c r="BT145" s="56"/>
      <c r="BU145" s="130"/>
    </row>
    <row r="146" spans="1:73" s="54" customFormat="1" ht="15" hidden="1" customHeight="1" outlineLevel="1">
      <c r="A146" s="57" t="s">
        <v>198</v>
      </c>
      <c r="B146" s="57"/>
      <c r="C146" s="57" t="s">
        <v>199</v>
      </c>
      <c r="D146" s="57" t="s">
        <v>200</v>
      </c>
      <c r="E146" s="57"/>
      <c r="F146" s="57"/>
      <c r="G146" s="57" t="s">
        <v>201</v>
      </c>
      <c r="H146" s="57"/>
      <c r="I146" s="57"/>
      <c r="J146" s="57" t="s">
        <v>202</v>
      </c>
      <c r="K146" s="57"/>
      <c r="L146" s="57"/>
      <c r="M146" s="57" t="s">
        <v>203</v>
      </c>
      <c r="N146" s="57"/>
      <c r="O146" s="57"/>
      <c r="P146" s="57" t="s">
        <v>204</v>
      </c>
      <c r="Q146" s="57"/>
      <c r="R146" s="57"/>
      <c r="S146" s="57"/>
      <c r="T146" s="57"/>
      <c r="U146" s="57" t="s">
        <v>205</v>
      </c>
      <c r="V146" s="57"/>
      <c r="W146" s="57"/>
      <c r="X146" s="57" t="s">
        <v>206</v>
      </c>
      <c r="Y146" s="57"/>
      <c r="Z146" s="57"/>
      <c r="AA146" s="57" t="s">
        <v>207</v>
      </c>
      <c r="AB146" s="57"/>
      <c r="AC146" s="57"/>
      <c r="AD146" s="57" t="s">
        <v>208</v>
      </c>
      <c r="AE146" s="57"/>
      <c r="AF146" s="57"/>
      <c r="AG146" s="57" t="s">
        <v>209</v>
      </c>
      <c r="AH146" s="57"/>
      <c r="AI146" s="57"/>
      <c r="AL146" s="57" t="s">
        <v>210</v>
      </c>
      <c r="AM146" s="57"/>
      <c r="AN146" s="57"/>
      <c r="AO146" s="57" t="s">
        <v>211</v>
      </c>
      <c r="AP146" s="57"/>
      <c r="AQ146" s="57"/>
      <c r="AR146" s="57" t="s">
        <v>212</v>
      </c>
      <c r="AS146" s="57"/>
      <c r="AT146" s="57"/>
      <c r="AU146" s="57" t="s">
        <v>213</v>
      </c>
      <c r="AV146" s="57"/>
      <c r="AW146" s="57"/>
      <c r="AX146" s="57" t="s">
        <v>214</v>
      </c>
      <c r="AY146" s="57"/>
      <c r="AZ146" s="57"/>
      <c r="BC146" s="57" t="s">
        <v>215</v>
      </c>
      <c r="BD146" s="57"/>
      <c r="BE146" s="57"/>
      <c r="BF146" s="57" t="s">
        <v>216</v>
      </c>
      <c r="BG146" s="57"/>
      <c r="BH146" s="57"/>
      <c r="BI146" s="57" t="s">
        <v>217</v>
      </c>
      <c r="BJ146" s="57"/>
      <c r="BK146" s="57"/>
      <c r="BL146" s="57" t="s">
        <v>218</v>
      </c>
      <c r="BM146" s="57"/>
      <c r="BN146" s="57"/>
      <c r="BO146" s="57" t="s">
        <v>219</v>
      </c>
      <c r="BP146" s="85"/>
      <c r="BQ146" s="85"/>
    </row>
    <row r="147" spans="1:73" s="54" customFormat="1" ht="15" hidden="1" customHeight="1" outlineLevel="1">
      <c r="A147" s="57" t="s">
        <v>220</v>
      </c>
      <c r="B147" s="70"/>
      <c r="C147" s="182" t="s">
        <v>221</v>
      </c>
      <c r="D147" s="182" t="s">
        <v>222</v>
      </c>
      <c r="E147" s="70"/>
      <c r="F147" s="70"/>
      <c r="G147" s="182" t="s">
        <v>223</v>
      </c>
      <c r="H147" s="70"/>
      <c r="I147" s="70"/>
      <c r="J147" s="182" t="s">
        <v>224</v>
      </c>
      <c r="K147" s="70"/>
      <c r="L147" s="70"/>
      <c r="M147" s="182" t="s">
        <v>225</v>
      </c>
      <c r="N147" s="70"/>
      <c r="O147" s="70"/>
      <c r="P147" s="182" t="s">
        <v>226</v>
      </c>
      <c r="Q147" s="70"/>
      <c r="R147" s="70"/>
      <c r="U147" s="182" t="s">
        <v>227</v>
      </c>
      <c r="V147" s="70"/>
      <c r="W147" s="70"/>
      <c r="X147" s="182" t="s">
        <v>228</v>
      </c>
      <c r="Y147" s="70"/>
      <c r="Z147" s="70"/>
      <c r="AA147" s="182" t="s">
        <v>229</v>
      </c>
      <c r="AB147" s="70"/>
      <c r="AC147" s="70"/>
      <c r="AD147" s="182" t="s">
        <v>230</v>
      </c>
      <c r="AE147" s="70"/>
      <c r="AF147" s="70"/>
      <c r="AG147" s="182" t="s">
        <v>231</v>
      </c>
      <c r="AH147" s="70"/>
      <c r="AI147" s="70"/>
      <c r="AL147" s="182" t="s">
        <v>232</v>
      </c>
      <c r="AM147" s="70"/>
      <c r="AN147" s="70"/>
      <c r="AO147" s="182" t="s">
        <v>233</v>
      </c>
      <c r="AP147" s="70"/>
      <c r="AQ147" s="70"/>
      <c r="AR147" s="182" t="s">
        <v>234</v>
      </c>
      <c r="AS147" s="70"/>
      <c r="AT147" s="70"/>
      <c r="AU147" s="182" t="s">
        <v>235</v>
      </c>
      <c r="AV147" s="70"/>
      <c r="AW147" s="70"/>
      <c r="AX147" s="182" t="s">
        <v>236</v>
      </c>
      <c r="AY147" s="70"/>
      <c r="AZ147" s="70"/>
      <c r="BC147" s="182" t="s">
        <v>237</v>
      </c>
      <c r="BD147" s="70"/>
      <c r="BE147" s="70"/>
      <c r="BF147" s="182" t="s">
        <v>238</v>
      </c>
      <c r="BG147" s="70"/>
      <c r="BH147" s="70"/>
      <c r="BI147" s="182" t="s">
        <v>239</v>
      </c>
      <c r="BJ147" s="70"/>
      <c r="BK147" s="70"/>
      <c r="BL147" s="182" t="s">
        <v>240</v>
      </c>
      <c r="BM147" s="70"/>
      <c r="BN147" s="70"/>
      <c r="BO147" s="182" t="s">
        <v>241</v>
      </c>
      <c r="BP147" s="115"/>
      <c r="BQ147" s="115"/>
    </row>
    <row r="148" spans="1:73" ht="15" customHeight="1">
      <c r="D148" s="156" t="str">
        <f>IF(Konfiguration_Configuration!$B$2=Konfiguration_Configuration!$L$1,'Notizenblatt_Feuille de juge'!D146,'Notizenblatt_Feuille de juge'!D147)</f>
        <v>TN1</v>
      </c>
      <c r="E148" s="156"/>
      <c r="F148" s="156"/>
      <c r="G148" s="156" t="str">
        <f>IF(Konfiguration_Configuration!$B$2=Konfiguration_Configuration!$L$1,'Notizenblatt_Feuille de juge'!G146,'Notizenblatt_Feuille de juge'!G147)</f>
        <v>TN2</v>
      </c>
      <c r="H148" s="156"/>
      <c r="I148" s="156"/>
      <c r="J148" s="156" t="str">
        <f>IF(Konfiguration_Configuration!$B$2=Konfiguration_Configuration!$L$1,'Notizenblatt_Feuille de juge'!J146,'Notizenblatt_Feuille de juge'!J147)</f>
        <v>TN3</v>
      </c>
      <c r="K148" s="156"/>
      <c r="L148" s="156"/>
      <c r="M148" s="156" t="str">
        <f>IF(Konfiguration_Configuration!$B$2=Konfiguration_Configuration!$L$1,'Notizenblatt_Feuille de juge'!M146,'Notizenblatt_Feuille de juge'!M147)</f>
        <v>TN4</v>
      </c>
      <c r="N148" s="156"/>
      <c r="O148" s="156"/>
      <c r="P148" s="156" t="str">
        <f>IF(Konfiguration_Configuration!$B$2=Konfiguration_Configuration!$L$1,'Notizenblatt_Feuille de juge'!P146,'Notizenblatt_Feuille de juge'!P147)</f>
        <v>TN5</v>
      </c>
      <c r="Q148" s="156"/>
      <c r="R148" s="156"/>
      <c r="U148" s="156" t="str">
        <f>IF(Konfiguration_Configuration!$B$2=Konfiguration_Configuration!$L$1,'Notizenblatt_Feuille de juge'!U146,'Notizenblatt_Feuille de juge'!U147)</f>
        <v>TN6</v>
      </c>
      <c r="V148" s="156"/>
      <c r="W148" s="156"/>
      <c r="X148" s="156" t="str">
        <f>IF(Konfiguration_Configuration!$B$2=Konfiguration_Configuration!$L$1,'Notizenblatt_Feuille de juge'!X146,'Notizenblatt_Feuille de juge'!X147)</f>
        <v>TN7</v>
      </c>
      <c r="Y148" s="156"/>
      <c r="Z148" s="156"/>
      <c r="AA148" s="156" t="str">
        <f>IF(Konfiguration_Configuration!$B$2=Konfiguration_Configuration!$L$1,'Notizenblatt_Feuille de juge'!AA146,'Notizenblatt_Feuille de juge'!AA147)</f>
        <v>TN8</v>
      </c>
      <c r="AB148" s="156"/>
      <c r="AC148" s="156"/>
      <c r="AD148" s="156" t="str">
        <f>IF(Konfiguration_Configuration!$B$2=Konfiguration_Configuration!$L$1,'Notizenblatt_Feuille de juge'!AD146,'Notizenblatt_Feuille de juge'!AD147)</f>
        <v>TN9</v>
      </c>
      <c r="AE148" s="156"/>
      <c r="AF148" s="156"/>
      <c r="AG148" s="156" t="str">
        <f>IF(Konfiguration_Configuration!$B$2=Konfiguration_Configuration!$L$1,'Notizenblatt_Feuille de juge'!AG146,'Notizenblatt_Feuille de juge'!AG147)</f>
        <v>TN10</v>
      </c>
      <c r="AH148" s="156"/>
      <c r="AI148" s="156"/>
      <c r="AL148" s="156" t="str">
        <f>IF(Konfiguration_Configuration!$B$2=Konfiguration_Configuration!$L$1,'Notizenblatt_Feuille de juge'!AL146,'Notizenblatt_Feuille de juge'!AL147)</f>
        <v>TN11</v>
      </c>
      <c r="AM148" s="156"/>
      <c r="AN148" s="156"/>
      <c r="AO148" s="156" t="str">
        <f>IF(Konfiguration_Configuration!$B$2=Konfiguration_Configuration!$L$1,'Notizenblatt_Feuille de juge'!AO146,'Notizenblatt_Feuille de juge'!AO147)</f>
        <v>TN12</v>
      </c>
      <c r="AP148" s="156"/>
      <c r="AQ148" s="156"/>
      <c r="AR148" s="156" t="str">
        <f>IF(Konfiguration_Configuration!$B$2=Konfiguration_Configuration!$L$1,'Notizenblatt_Feuille de juge'!AR146,'Notizenblatt_Feuille de juge'!AR147)</f>
        <v>TN13</v>
      </c>
      <c r="AS148" s="156"/>
      <c r="AT148" s="156"/>
      <c r="AU148" s="156" t="str">
        <f>IF(Konfiguration_Configuration!$B$2=Konfiguration_Configuration!$L$1,'Notizenblatt_Feuille de juge'!AU146,'Notizenblatt_Feuille de juge'!AU147)</f>
        <v>TN14</v>
      </c>
      <c r="AV148" s="156"/>
      <c r="AW148" s="156"/>
      <c r="AX148" s="156" t="str">
        <f>IF(Konfiguration_Configuration!$B$2=Konfiguration_Configuration!$L$1,'Notizenblatt_Feuille de juge'!AX146,'Notizenblatt_Feuille de juge'!AX147)</f>
        <v>TN15</v>
      </c>
      <c r="AY148" s="156"/>
      <c r="AZ148" s="156"/>
      <c r="BC148" s="156" t="str">
        <f>IF(Konfiguration_Configuration!$B$2=Konfiguration_Configuration!$L$1,'Notizenblatt_Feuille de juge'!BC146,'Notizenblatt_Feuille de juge'!BC147)</f>
        <v>TN16</v>
      </c>
      <c r="BD148" s="156"/>
      <c r="BE148" s="156"/>
      <c r="BF148" s="156" t="str">
        <f>IF(Konfiguration_Configuration!$B$2=Konfiguration_Configuration!$L$1,'Notizenblatt_Feuille de juge'!BF146,'Notizenblatt_Feuille de juge'!BF147)</f>
        <v>TN17</v>
      </c>
      <c r="BG148" s="156"/>
      <c r="BH148" s="156"/>
      <c r="BI148" s="156" t="str">
        <f>IF(Konfiguration_Configuration!$B$2=Konfiguration_Configuration!$L$1,'Notizenblatt_Feuille de juge'!BI146,'Notizenblatt_Feuille de juge'!BI147)</f>
        <v>TN18</v>
      </c>
      <c r="BJ148" s="156"/>
      <c r="BK148" s="156"/>
      <c r="BL148" s="156" t="str">
        <f>IF(Konfiguration_Configuration!$B$2=Konfiguration_Configuration!$L$1,'Notizenblatt_Feuille de juge'!BL146,'Notizenblatt_Feuille de juge'!BL147)</f>
        <v>TN19</v>
      </c>
      <c r="BM148" s="156"/>
      <c r="BN148" s="156"/>
      <c r="BO148" s="156" t="str">
        <f>IF(Konfiguration_Configuration!$B$2=Konfiguration_Configuration!$L$1,'Notizenblatt_Feuille de juge'!BO146,'Notizenblatt_Feuille de juge'!BO147)</f>
        <v>TN20</v>
      </c>
      <c r="BP148" s="156"/>
      <c r="BQ148" s="156"/>
    </row>
    <row r="149" spans="1:73" ht="21" customHeight="1">
      <c r="A149" s="148"/>
      <c r="B149" s="172" t="str">
        <f>Konfiguration_Configuration!B$21</f>
        <v>Name</v>
      </c>
      <c r="C149" s="159"/>
      <c r="D149" s="173" t="str">
        <f>IF(Konfiguration_Configuration!$B$22="","",Konfiguration_Configuration!$B$22)</f>
        <v/>
      </c>
      <c r="E149" s="173"/>
      <c r="F149" s="174"/>
      <c r="G149" s="162" t="str">
        <f>IF(Konfiguration_Configuration!$B$23="","",Konfiguration_Configuration!$B$23)</f>
        <v/>
      </c>
      <c r="H149" s="163"/>
      <c r="I149" s="164"/>
      <c r="J149" s="162" t="str">
        <f>IF(Konfiguration_Configuration!$B$24="","",Konfiguration_Configuration!$B$24)</f>
        <v/>
      </c>
      <c r="K149" s="163"/>
      <c r="L149" s="164"/>
      <c r="M149" s="162" t="str">
        <f>IF(Konfiguration_Configuration!$B$25="","",Konfiguration_Configuration!$B$25)</f>
        <v/>
      </c>
      <c r="N149" s="163"/>
      <c r="O149" s="164"/>
      <c r="P149" s="162" t="str">
        <f>IF(Konfiguration_Configuration!$B$26="","",Konfiguration_Configuration!$B$26)</f>
        <v/>
      </c>
      <c r="Q149" s="163"/>
      <c r="R149" s="164"/>
      <c r="S149" s="158" t="str">
        <f>B149</f>
        <v>Name</v>
      </c>
      <c r="T149" s="159"/>
      <c r="U149" s="162" t="str">
        <f>IF(Konfiguration_Configuration!$B$27="","",Konfiguration_Configuration!$B$27)</f>
        <v/>
      </c>
      <c r="V149" s="163"/>
      <c r="W149" s="164"/>
      <c r="X149" s="162" t="str">
        <f>IF(Konfiguration_Configuration!$B$28="","",Konfiguration_Configuration!$B$28)</f>
        <v/>
      </c>
      <c r="Y149" s="163"/>
      <c r="Z149" s="164"/>
      <c r="AA149" s="162" t="str">
        <f>IF(Konfiguration_Configuration!$B$29="","",Konfiguration_Configuration!$B$29)</f>
        <v/>
      </c>
      <c r="AB149" s="163"/>
      <c r="AC149" s="164"/>
      <c r="AD149" s="162" t="str">
        <f>IF(Konfiguration_Configuration!$B$30="","",Konfiguration_Configuration!$B$30)</f>
        <v/>
      </c>
      <c r="AE149" s="163"/>
      <c r="AF149" s="164"/>
      <c r="AG149" s="162" t="str">
        <f>IF(Konfiguration_Configuration!$B$31="","",Konfiguration_Configuration!$B$31)</f>
        <v/>
      </c>
      <c r="AH149" s="163"/>
      <c r="AI149" s="164"/>
      <c r="AJ149" s="158" t="str">
        <f>B149</f>
        <v>Name</v>
      </c>
      <c r="AK149" s="159"/>
      <c r="AL149" s="162" t="str">
        <f>IF(Konfiguration_Configuration!$B$32="","",Konfiguration_Configuration!$B$32)</f>
        <v/>
      </c>
      <c r="AM149" s="163"/>
      <c r="AN149" s="164"/>
      <c r="AO149" s="162" t="str">
        <f>IF(Konfiguration_Configuration!$B$33="","",Konfiguration_Configuration!$B$33)</f>
        <v/>
      </c>
      <c r="AP149" s="163"/>
      <c r="AQ149" s="164"/>
      <c r="AR149" s="162" t="str">
        <f>IF(Konfiguration_Configuration!$B$34="","",Konfiguration_Configuration!$B$34)</f>
        <v/>
      </c>
      <c r="AS149" s="163"/>
      <c r="AT149" s="164"/>
      <c r="AU149" s="162" t="str">
        <f>IF(Konfiguration_Configuration!$B$35="","",Konfiguration_Configuration!$B$35)</f>
        <v/>
      </c>
      <c r="AV149" s="163"/>
      <c r="AW149" s="164"/>
      <c r="AX149" s="162" t="str">
        <f>IF(Konfiguration_Configuration!$B$36="","",Konfiguration_Configuration!$B$36)</f>
        <v/>
      </c>
      <c r="AY149" s="163"/>
      <c r="AZ149" s="164"/>
      <c r="BA149" s="158" t="str">
        <f>B149</f>
        <v>Name</v>
      </c>
      <c r="BB149" s="159"/>
      <c r="BC149" s="162" t="str">
        <f>IF(Konfiguration_Configuration!$B$37="","",Konfiguration_Configuration!$B$37)</f>
        <v/>
      </c>
      <c r="BD149" s="163"/>
      <c r="BE149" s="164"/>
      <c r="BF149" s="162" t="str">
        <f>IF(Konfiguration_Configuration!$B$38="","",Konfiguration_Configuration!$B$38)</f>
        <v/>
      </c>
      <c r="BG149" s="163"/>
      <c r="BH149" s="164"/>
      <c r="BI149" s="162" t="str">
        <f>IF(Konfiguration_Configuration!$B$39="","",Konfiguration_Configuration!$B$39)</f>
        <v/>
      </c>
      <c r="BJ149" s="163"/>
      <c r="BK149" s="164"/>
      <c r="BL149" s="162" t="str">
        <f>IF(Konfiguration_Configuration!$B$40="","",Konfiguration_Configuration!$B$40)</f>
        <v/>
      </c>
      <c r="BM149" s="163"/>
      <c r="BN149" s="164"/>
      <c r="BO149" s="162" t="str">
        <f>IF(Konfiguration_Configuration!$B$41="","",Konfiguration_Configuration!$B$41)</f>
        <v/>
      </c>
      <c r="BP149" s="163"/>
      <c r="BQ149" s="164"/>
    </row>
    <row r="150" spans="1:73" ht="25.5" customHeight="1">
      <c r="A150" s="131"/>
      <c r="B150" s="160" t="str">
        <f>Konfiguration_Configuration!E$11</f>
        <v>Klub</v>
      </c>
      <c r="C150" s="161"/>
      <c r="D150" s="179" t="str">
        <f>IF(Konfiguration_Configuration!$E$22="","",Konfiguration_Configuration!$E$22) &amp; IF(Konfiguration_Configuration!$H$22="",""," / " &amp; Konfiguration_Configuration!$H$22)</f>
        <v/>
      </c>
      <c r="E150" s="180"/>
      <c r="F150" s="181"/>
      <c r="G150" s="165" t="str">
        <f>IF(Konfiguration_Configuration!$E$23="","",Konfiguration_Configuration!$E$23) &amp; IF(Konfiguration_Configuration!$H$23="",""," / " &amp; Konfiguration_Configuration!$H$23)</f>
        <v/>
      </c>
      <c r="H150" s="166"/>
      <c r="I150" s="167"/>
      <c r="J150" s="165" t="str">
        <f>IF(Konfiguration_Configuration!$E$24="","",Konfiguration_Configuration!$E$24) &amp; IF(Konfiguration_Configuration!$H$24="",""," / " &amp; Konfiguration_Configuration!$H$24)</f>
        <v/>
      </c>
      <c r="K150" s="166"/>
      <c r="L150" s="167"/>
      <c r="M150" s="165" t="str">
        <f>IF(Konfiguration_Configuration!$E$25="","",Konfiguration_Configuration!$E$25) &amp; IF(Konfiguration_Configuration!$H$25="",""," / " &amp; Konfiguration_Configuration!$H$25)</f>
        <v/>
      </c>
      <c r="N150" s="166"/>
      <c r="O150" s="167"/>
      <c r="P150" s="165" t="str">
        <f>IF(Konfiguration_Configuration!$E$26="","",Konfiguration_Configuration!$E$26) &amp; IF(Konfiguration_Configuration!$H$26="",""," / " &amp; Konfiguration_Configuration!$H$26)</f>
        <v/>
      </c>
      <c r="Q150" s="166"/>
      <c r="R150" s="167"/>
      <c r="S150" s="160" t="str">
        <f>B150</f>
        <v>Klub</v>
      </c>
      <c r="T150" s="161"/>
      <c r="U150" s="165" t="str">
        <f>IF(Konfiguration_Configuration!$E$27="","",Konfiguration_Configuration!$E$27) &amp; IF(Konfiguration_Configuration!$H$27="",""," / " &amp; Konfiguration_Configuration!$H$27)</f>
        <v/>
      </c>
      <c r="V150" s="166"/>
      <c r="W150" s="167"/>
      <c r="X150" s="165" t="str">
        <f>IF(Konfiguration_Configuration!$E$28="","",Konfiguration_Configuration!$E$28) &amp; IF(Konfiguration_Configuration!$H$28="",""," / " &amp; Konfiguration_Configuration!$H$28)</f>
        <v/>
      </c>
      <c r="Y150" s="166"/>
      <c r="Z150" s="167"/>
      <c r="AA150" s="165" t="str">
        <f>IF(Konfiguration_Configuration!$E$29="","",Konfiguration_Configuration!$E$29) &amp; IF(Konfiguration_Configuration!$H$29="",""," / " &amp; Konfiguration_Configuration!$H$29)</f>
        <v/>
      </c>
      <c r="AB150" s="166"/>
      <c r="AC150" s="167"/>
      <c r="AD150" s="165" t="str">
        <f>IF(Konfiguration_Configuration!$E$30="","",Konfiguration_Configuration!$E$30) &amp; IF(Konfiguration_Configuration!$H$30="",""," / " &amp; Konfiguration_Configuration!$H$30)</f>
        <v/>
      </c>
      <c r="AE150" s="166"/>
      <c r="AF150" s="167"/>
      <c r="AG150" s="165" t="str">
        <f>IF(Konfiguration_Configuration!$E$31="","",Konfiguration_Configuration!$E$31) &amp; IF(Konfiguration_Configuration!$H$31="",""," / " &amp; Konfiguration_Configuration!$H$31)</f>
        <v/>
      </c>
      <c r="AH150" s="166"/>
      <c r="AI150" s="167"/>
      <c r="AJ150" s="160" t="str">
        <f>B150</f>
        <v>Klub</v>
      </c>
      <c r="AK150" s="161"/>
      <c r="AL150" s="165" t="str">
        <f>IF(Konfiguration_Configuration!$E$32="","",Konfiguration_Configuration!$E$32) &amp; IF(Konfiguration_Configuration!$H$32="",""," / " &amp; Konfiguration_Configuration!$H$32)</f>
        <v/>
      </c>
      <c r="AM150" s="166"/>
      <c r="AN150" s="167"/>
      <c r="AO150" s="165" t="str">
        <f>IF(Konfiguration_Configuration!$E$33="","",Konfiguration_Configuration!$E$33) &amp; IF(Konfiguration_Configuration!$H$33="",""," / " &amp; Konfiguration_Configuration!$H$33)</f>
        <v/>
      </c>
      <c r="AP150" s="166"/>
      <c r="AQ150" s="167"/>
      <c r="AR150" s="165" t="str">
        <f>IF(Konfiguration_Configuration!$E$34="","",Konfiguration_Configuration!$E$34) &amp; IF(Konfiguration_Configuration!$H$34="",""," / " &amp; Konfiguration_Configuration!$H$34)</f>
        <v/>
      </c>
      <c r="AS150" s="166"/>
      <c r="AT150" s="167"/>
      <c r="AU150" s="165" t="str">
        <f>IF(Konfiguration_Configuration!$E$35="","",Konfiguration_Configuration!$E$35) &amp; IF(Konfiguration_Configuration!$H$35="",""," / " &amp; Konfiguration_Configuration!$H$35)</f>
        <v/>
      </c>
      <c r="AV150" s="166"/>
      <c r="AW150" s="167"/>
      <c r="AX150" s="165" t="str">
        <f>IF(Konfiguration_Configuration!$E$36="","",Konfiguration_Configuration!$E$36) &amp; IF(Konfiguration_Configuration!$H$36="",""," / " &amp; Konfiguration_Configuration!$H$36)</f>
        <v/>
      </c>
      <c r="AY150" s="166"/>
      <c r="AZ150" s="167"/>
      <c r="BA150" s="160" t="str">
        <f>B150</f>
        <v>Klub</v>
      </c>
      <c r="BB150" s="161"/>
      <c r="BC150" s="165" t="str">
        <f>IF(Konfiguration_Configuration!$E$37="","",Konfiguration_Configuration!$E$37) &amp; IF(Konfiguration_Configuration!$H$37="",""," / " &amp; Konfiguration_Configuration!$H$37)</f>
        <v/>
      </c>
      <c r="BD150" s="166"/>
      <c r="BE150" s="167"/>
      <c r="BF150" s="165" t="str">
        <f>IF(Konfiguration_Configuration!$E$38="","",Konfiguration_Configuration!$E$38) &amp; IF(Konfiguration_Configuration!$H$38="",""," / " &amp; Konfiguration_Configuration!$H$38)</f>
        <v/>
      </c>
      <c r="BG150" s="166"/>
      <c r="BH150" s="167"/>
      <c r="BI150" s="165" t="str">
        <f>IF(Konfiguration_Configuration!$E$39="","",Konfiguration_Configuration!$E$39) &amp; IF(Konfiguration_Configuration!$H$39="",""," / " &amp; Konfiguration_Configuration!$H$39)</f>
        <v/>
      </c>
      <c r="BJ150" s="166"/>
      <c r="BK150" s="167"/>
      <c r="BL150" s="165" t="str">
        <f>IF(Konfiguration_Configuration!$E$40="","",Konfiguration_Configuration!$E$40) &amp; IF(Konfiguration_Configuration!$H$40="",""," / " &amp; Konfiguration_Configuration!$H$40)</f>
        <v/>
      </c>
      <c r="BM150" s="166"/>
      <c r="BN150" s="167"/>
      <c r="BO150" s="165" t="str">
        <f>IF(Konfiguration_Configuration!$E$41="","",Konfiguration_Configuration!$E$41) &amp; IF(Konfiguration_Configuration!$H$41="",""," / " &amp; Konfiguration_Configuration!$H$41)</f>
        <v/>
      </c>
      <c r="BP150" s="166"/>
      <c r="BQ150" s="167"/>
    </row>
    <row r="151" spans="1:73" ht="32.1" customHeight="1">
      <c r="A151" s="132" t="str">
        <f>Daten!C$4</f>
        <v>Elemente</v>
      </c>
      <c r="B151" s="133" t="s">
        <v>242</v>
      </c>
      <c r="C151" s="134"/>
      <c r="D151" s="183" t="str">
        <f>IF(Konfiguration_Configuration!$B$2=Konfiguration_Configuration!$L$1,'Notizenblatt_Feuille de juge'!$A$8,'Notizenblatt_Feuille de juge'!$A$9)</f>
        <v>Bemerkungen</v>
      </c>
      <c r="E151" s="135" t="s">
        <v>243</v>
      </c>
      <c r="F151" s="183" t="str">
        <f>IF(Konfiguration_Configuration!$B$2=Konfiguration_Configuration!$L$1,'Notizenblatt_Feuille de juge'!$C$8,'Notizenblatt_Feuille de juge'!$C$9)</f>
        <v>Wert</v>
      </c>
      <c r="G151" s="183" t="str">
        <f>IF(Konfiguration_Configuration!$B$2=Konfiguration_Configuration!$L$1,'Notizenblatt_Feuille de juge'!$A$8,'Notizenblatt_Feuille de juge'!$A$9)</f>
        <v>Bemerkungen</v>
      </c>
      <c r="H151" s="135" t="s">
        <v>243</v>
      </c>
      <c r="I151" s="183" t="str">
        <f>IF(Konfiguration_Configuration!$B$2=Konfiguration_Configuration!$L$1,'Notizenblatt_Feuille de juge'!$C$8,'Notizenblatt_Feuille de juge'!$C$9)</f>
        <v>Wert</v>
      </c>
      <c r="J151" s="183" t="str">
        <f>IF(Konfiguration_Configuration!$B$2=Konfiguration_Configuration!$L$1,'Notizenblatt_Feuille de juge'!$A$8,'Notizenblatt_Feuille de juge'!$A$9)</f>
        <v>Bemerkungen</v>
      </c>
      <c r="K151" s="135" t="s">
        <v>243</v>
      </c>
      <c r="L151" s="183" t="str">
        <f>IF(Konfiguration_Configuration!$B$2=Konfiguration_Configuration!$L$1,'Notizenblatt_Feuille de juge'!$C$8,'Notizenblatt_Feuille de juge'!$C$9)</f>
        <v>Wert</v>
      </c>
      <c r="M151" s="183" t="str">
        <f>IF(Konfiguration_Configuration!$B$2=Konfiguration_Configuration!$L$1,'Notizenblatt_Feuille de juge'!$A$8,'Notizenblatt_Feuille de juge'!$A$9)</f>
        <v>Bemerkungen</v>
      </c>
      <c r="N151" s="135" t="s">
        <v>243</v>
      </c>
      <c r="O151" s="183" t="str">
        <f>IF(Konfiguration_Configuration!$B$2=Konfiguration_Configuration!$L$1,'Notizenblatt_Feuille de juge'!$C$8,'Notizenblatt_Feuille de juge'!$C$9)</f>
        <v>Wert</v>
      </c>
      <c r="P151" s="183" t="str">
        <f>IF(Konfiguration_Configuration!$B$2=Konfiguration_Configuration!$L$1,'Notizenblatt_Feuille de juge'!$A$8,'Notizenblatt_Feuille de juge'!$A$9)</f>
        <v>Bemerkungen</v>
      </c>
      <c r="Q151" s="135" t="s">
        <v>243</v>
      </c>
      <c r="R151" s="183" t="str">
        <f>IF(Konfiguration_Configuration!$B$2=Konfiguration_Configuration!$L$1,'Notizenblatt_Feuille de juge'!$C$8,'Notizenblatt_Feuille de juge'!$C$9)</f>
        <v>Wert</v>
      </c>
      <c r="S151" s="133" t="s">
        <v>242</v>
      </c>
      <c r="T151" s="134"/>
      <c r="U151" s="183" t="str">
        <f>IF(Konfiguration_Configuration!$B$2=Konfiguration_Configuration!$L$1,'Notizenblatt_Feuille de juge'!$A$8,'Notizenblatt_Feuille de juge'!$A$9)</f>
        <v>Bemerkungen</v>
      </c>
      <c r="V151" s="135" t="s">
        <v>243</v>
      </c>
      <c r="W151" s="183" t="str">
        <f>IF(Konfiguration_Configuration!$B$2=Konfiguration_Configuration!$L$1,'Notizenblatt_Feuille de juge'!$C$8,'Notizenblatt_Feuille de juge'!$C$9)</f>
        <v>Wert</v>
      </c>
      <c r="X151" s="183" t="str">
        <f>IF(Konfiguration_Configuration!$B$2=Konfiguration_Configuration!$L$1,'Notizenblatt_Feuille de juge'!$A$8,'Notizenblatt_Feuille de juge'!$A$9)</f>
        <v>Bemerkungen</v>
      </c>
      <c r="Y151" s="135" t="s">
        <v>243</v>
      </c>
      <c r="Z151" s="183" t="str">
        <f>IF(Konfiguration_Configuration!$B$2=Konfiguration_Configuration!$L$1,'Notizenblatt_Feuille de juge'!$C$8,'Notizenblatt_Feuille de juge'!$C$9)</f>
        <v>Wert</v>
      </c>
      <c r="AA151" s="183" t="str">
        <f>IF(Konfiguration_Configuration!$B$2=Konfiguration_Configuration!$L$1,'Notizenblatt_Feuille de juge'!$A$8,'Notizenblatt_Feuille de juge'!$A$9)</f>
        <v>Bemerkungen</v>
      </c>
      <c r="AB151" s="135" t="s">
        <v>243</v>
      </c>
      <c r="AC151" s="183" t="str">
        <f>IF(Konfiguration_Configuration!$B$2=Konfiguration_Configuration!$L$1,'Notizenblatt_Feuille de juge'!$C$8,'Notizenblatt_Feuille de juge'!$C$9)</f>
        <v>Wert</v>
      </c>
      <c r="AD151" s="183" t="str">
        <f>IF(Konfiguration_Configuration!$B$2=Konfiguration_Configuration!$L$1,'Notizenblatt_Feuille de juge'!$A$8,'Notizenblatt_Feuille de juge'!$A$9)</f>
        <v>Bemerkungen</v>
      </c>
      <c r="AE151" s="135" t="s">
        <v>243</v>
      </c>
      <c r="AF151" s="183" t="str">
        <f>IF(Konfiguration_Configuration!$B$2=Konfiguration_Configuration!$L$1,'Notizenblatt_Feuille de juge'!$C$8,'Notizenblatt_Feuille de juge'!$C$9)</f>
        <v>Wert</v>
      </c>
      <c r="AG151" s="183" t="str">
        <f>IF(Konfiguration_Configuration!$B$2=Konfiguration_Configuration!$L$1,'Notizenblatt_Feuille de juge'!$A$8,'Notizenblatt_Feuille de juge'!$A$9)</f>
        <v>Bemerkungen</v>
      </c>
      <c r="AH151" s="135" t="s">
        <v>243</v>
      </c>
      <c r="AI151" s="183" t="str">
        <f>IF(Konfiguration_Configuration!$B$2=Konfiguration_Configuration!$L$1,'Notizenblatt_Feuille de juge'!$C$8,'Notizenblatt_Feuille de juge'!$C$9)</f>
        <v>Wert</v>
      </c>
      <c r="AJ151" s="133" t="s">
        <v>242</v>
      </c>
      <c r="AK151" s="134"/>
      <c r="AL151" s="183" t="str">
        <f>IF(Konfiguration_Configuration!$B$2=Konfiguration_Configuration!$L$1,'Notizenblatt_Feuille de juge'!$A$8,'Notizenblatt_Feuille de juge'!$A$9)</f>
        <v>Bemerkungen</v>
      </c>
      <c r="AM151" s="135" t="s">
        <v>243</v>
      </c>
      <c r="AN151" s="183" t="str">
        <f>IF(Konfiguration_Configuration!$B$2=Konfiguration_Configuration!$L$1,'Notizenblatt_Feuille de juge'!$C$8,'Notizenblatt_Feuille de juge'!$C$9)</f>
        <v>Wert</v>
      </c>
      <c r="AO151" s="183" t="str">
        <f>IF(Konfiguration_Configuration!$B$2=Konfiguration_Configuration!$L$1,'Notizenblatt_Feuille de juge'!$A$8,'Notizenblatt_Feuille de juge'!$A$9)</f>
        <v>Bemerkungen</v>
      </c>
      <c r="AP151" s="135" t="s">
        <v>243</v>
      </c>
      <c r="AQ151" s="183" t="str">
        <f>IF(Konfiguration_Configuration!$B$2=Konfiguration_Configuration!$L$1,'Notizenblatt_Feuille de juge'!$C$8,'Notizenblatt_Feuille de juge'!$C$9)</f>
        <v>Wert</v>
      </c>
      <c r="AR151" s="183" t="str">
        <f>IF(Konfiguration_Configuration!$B$2=Konfiguration_Configuration!$L$1,'Notizenblatt_Feuille de juge'!$A$8,'Notizenblatt_Feuille de juge'!$A$9)</f>
        <v>Bemerkungen</v>
      </c>
      <c r="AS151" s="135" t="s">
        <v>243</v>
      </c>
      <c r="AT151" s="183" t="str">
        <f>IF(Konfiguration_Configuration!$B$2=Konfiguration_Configuration!$L$1,'Notizenblatt_Feuille de juge'!$C$8,'Notizenblatt_Feuille de juge'!$C$9)</f>
        <v>Wert</v>
      </c>
      <c r="AU151" s="183" t="str">
        <f>IF(Konfiguration_Configuration!$B$2=Konfiguration_Configuration!$L$1,'Notizenblatt_Feuille de juge'!$A$8,'Notizenblatt_Feuille de juge'!$A$9)</f>
        <v>Bemerkungen</v>
      </c>
      <c r="AV151" s="135" t="s">
        <v>243</v>
      </c>
      <c r="AW151" s="183" t="str">
        <f>IF(Konfiguration_Configuration!$B$2=Konfiguration_Configuration!$L$1,'Notizenblatt_Feuille de juge'!$C$8,'Notizenblatt_Feuille de juge'!$C$9)</f>
        <v>Wert</v>
      </c>
      <c r="AX151" s="183" t="str">
        <f>IF(Konfiguration_Configuration!$B$2=Konfiguration_Configuration!$L$1,'Notizenblatt_Feuille de juge'!$A$8,'Notizenblatt_Feuille de juge'!$A$9)</f>
        <v>Bemerkungen</v>
      </c>
      <c r="AY151" s="135" t="s">
        <v>243</v>
      </c>
      <c r="AZ151" s="183" t="str">
        <f>IF(Konfiguration_Configuration!$B$2=Konfiguration_Configuration!$L$1,'Notizenblatt_Feuille de juge'!$C$8,'Notizenblatt_Feuille de juge'!$C$9)</f>
        <v>Wert</v>
      </c>
      <c r="BA151" s="133" t="s">
        <v>242</v>
      </c>
      <c r="BB151" s="134"/>
      <c r="BC151" s="183" t="str">
        <f>IF(Konfiguration_Configuration!$B$2=Konfiguration_Configuration!$L$1,'Notizenblatt_Feuille de juge'!$A$8,'Notizenblatt_Feuille de juge'!$A$9)</f>
        <v>Bemerkungen</v>
      </c>
      <c r="BD151" s="135" t="s">
        <v>243</v>
      </c>
      <c r="BE151" s="183" t="str">
        <f>IF(Konfiguration_Configuration!$B$2=Konfiguration_Configuration!$L$1,'Notizenblatt_Feuille de juge'!$C$8,'Notizenblatt_Feuille de juge'!$C$9)</f>
        <v>Wert</v>
      </c>
      <c r="BF151" s="183" t="str">
        <f>IF(Konfiguration_Configuration!$B$2=Konfiguration_Configuration!$L$1,'Notizenblatt_Feuille de juge'!$A$8,'Notizenblatt_Feuille de juge'!$A$9)</f>
        <v>Bemerkungen</v>
      </c>
      <c r="BG151" s="135" t="s">
        <v>243</v>
      </c>
      <c r="BH151" s="183" t="str">
        <f>IF(Konfiguration_Configuration!$B$2=Konfiguration_Configuration!$L$1,'Notizenblatt_Feuille de juge'!$C$8,'Notizenblatt_Feuille de juge'!$C$9)</f>
        <v>Wert</v>
      </c>
      <c r="BI151" s="183" t="str">
        <f>IF(Konfiguration_Configuration!$B$2=Konfiguration_Configuration!$L$1,'Notizenblatt_Feuille de juge'!$A$8,'Notizenblatt_Feuille de juge'!$A$9)</f>
        <v>Bemerkungen</v>
      </c>
      <c r="BJ151" s="135" t="s">
        <v>243</v>
      </c>
      <c r="BK151" s="183" t="str">
        <f>IF(Konfiguration_Configuration!$B$2=Konfiguration_Configuration!$L$1,'Notizenblatt_Feuille de juge'!$C$8,'Notizenblatt_Feuille de juge'!$C$9)</f>
        <v>Wert</v>
      </c>
      <c r="BL151" s="183" t="str">
        <f>IF(Konfiguration_Configuration!$B$2=Konfiguration_Configuration!$L$1,'Notizenblatt_Feuille de juge'!$A$8,'Notizenblatt_Feuille de juge'!$A$9)</f>
        <v>Bemerkungen</v>
      </c>
      <c r="BM151" s="135" t="s">
        <v>243</v>
      </c>
      <c r="BN151" s="183" t="str">
        <f>IF(Konfiguration_Configuration!$B$2=Konfiguration_Configuration!$L$1,'Notizenblatt_Feuille de juge'!$C$8,'Notizenblatt_Feuille de juge'!$C$9)</f>
        <v>Wert</v>
      </c>
      <c r="BO151" s="183" t="str">
        <f>IF(Konfiguration_Configuration!$B$2=Konfiguration_Configuration!$L$1,'Notizenblatt_Feuille de juge'!$A$8,'Notizenblatt_Feuille de juge'!$A$9)</f>
        <v>Bemerkungen</v>
      </c>
      <c r="BP151" s="135" t="s">
        <v>243</v>
      </c>
      <c r="BQ151" s="183" t="str">
        <f>IF(Konfiguration_Configuration!$B$2=Konfiguration_Configuration!$L$1,'Notizenblatt_Feuille de juge'!$C$8,'Notizenblatt_Feuille de juge'!$C$9)</f>
        <v>Wert</v>
      </c>
    </row>
    <row r="152" spans="1:73" ht="32.1" customHeight="1">
      <c r="A152" s="136" t="str">
        <f>CONCATENATE(LEFT(A$13,LEN(A$13)-1)," 1:")</f>
        <v>Element 1:</v>
      </c>
      <c r="B152" s="168">
        <f>VLOOKUP(CONCATENATE("1",Konfiguration_Configuration!$N$6),Daten!$B$5:$E$99,3,FALSE)</f>
        <v>1</v>
      </c>
      <c r="C152" s="137" t="s">
        <v>244</v>
      </c>
      <c r="D152" s="239" t="str">
        <f>IF(VLOOKUP(CONCATENATE("1",Konfiguration_Configuration!$N$6),Daten!$B$5:$F$99,5,FALSE)=1,"R/d","")</f>
        <v/>
      </c>
      <c r="E152" s="184"/>
      <c r="F152" s="188"/>
      <c r="G152" s="239" t="str">
        <f>IF(VLOOKUP(CONCATENATE("1",Konfiguration_Configuration!$N$6),Daten!$B$5:$F$99,5,FALSE)=1,"R/d","")</f>
        <v/>
      </c>
      <c r="H152" s="184"/>
      <c r="I152" s="188"/>
      <c r="J152" s="239" t="str">
        <f>IF(VLOOKUP(CONCATENATE("1",Konfiguration_Configuration!$N$6),Daten!$B$5:$F$99,5,FALSE)=1,"R/d","")</f>
        <v/>
      </c>
      <c r="K152" s="184"/>
      <c r="L152" s="188"/>
      <c r="M152" s="239" t="str">
        <f>IF(VLOOKUP(CONCATENATE("1",Konfiguration_Configuration!$N$6),Daten!$B$5:$F$99,5,FALSE)=1,"R/d","")</f>
        <v/>
      </c>
      <c r="N152" s="184"/>
      <c r="O152" s="188"/>
      <c r="P152" s="239" t="str">
        <f>IF(VLOOKUP(CONCATENATE("1",Konfiguration_Configuration!$N$6),Daten!$B$5:$F$99,5,FALSE)=1,"R/d","")</f>
        <v/>
      </c>
      <c r="Q152" s="184"/>
      <c r="R152" s="188"/>
      <c r="S152" s="168">
        <f>VLOOKUP(CONCATENATE("1",Konfiguration_Configuration!$N$6),Daten!$B$5:$E$99,3,FALSE)</f>
        <v>1</v>
      </c>
      <c r="T152" s="137" t="s">
        <v>244</v>
      </c>
      <c r="U152" s="239" t="str">
        <f>IF(VLOOKUP(CONCATENATE("1",Konfiguration_Configuration!$N$6),Daten!$B$5:$F$99,5,FALSE)=1,"R/d","")</f>
        <v/>
      </c>
      <c r="V152" s="184"/>
      <c r="W152" s="188"/>
      <c r="X152" s="239" t="str">
        <f>IF(VLOOKUP(CONCATENATE("1",Konfiguration_Configuration!$N$6),Daten!$B$5:$F$99,5,FALSE)=1,"R/d","")</f>
        <v/>
      </c>
      <c r="Y152" s="184"/>
      <c r="Z152" s="188"/>
      <c r="AA152" s="239" t="str">
        <f>IF(VLOOKUP(CONCATENATE("1",Konfiguration_Configuration!$N$6),Daten!$B$5:$F$99,5,FALSE)=1,"R/d","")</f>
        <v/>
      </c>
      <c r="AB152" s="184"/>
      <c r="AC152" s="188"/>
      <c r="AD152" s="239" t="str">
        <f>IF(VLOOKUP(CONCATENATE("1",Konfiguration_Configuration!$N$6),Daten!$B$5:$F$99,5,FALSE)=1,"R/d","")</f>
        <v/>
      </c>
      <c r="AE152" s="184"/>
      <c r="AF152" s="188"/>
      <c r="AG152" s="239" t="str">
        <f>IF(VLOOKUP(CONCATENATE("1",Konfiguration_Configuration!$N$6),Daten!$B$5:$F$99,5,FALSE)=1,"R/d","")</f>
        <v/>
      </c>
      <c r="AH152" s="184"/>
      <c r="AI152" s="188"/>
      <c r="AJ152" s="168">
        <f>VLOOKUP(CONCATENATE("1",Konfiguration_Configuration!$N$6),Daten!$B$5:$E$99,3,FALSE)</f>
        <v>1</v>
      </c>
      <c r="AK152" s="137" t="s">
        <v>244</v>
      </c>
      <c r="AL152" s="239" t="str">
        <f>IF(VLOOKUP(CONCATENATE("1",Konfiguration_Configuration!$N$6),Daten!$B$5:$F$99,5,FALSE)=1,"R/d","")</f>
        <v/>
      </c>
      <c r="AM152" s="184"/>
      <c r="AN152" s="188"/>
      <c r="AO152" s="239" t="str">
        <f>IF(VLOOKUP(CONCATENATE("1",Konfiguration_Configuration!$N$6),Daten!$B$5:$F$99,5,FALSE)=1,"R/d","")</f>
        <v/>
      </c>
      <c r="AP152" s="184"/>
      <c r="AQ152" s="188"/>
      <c r="AR152" s="239" t="str">
        <f>IF(VLOOKUP(CONCATENATE("1",Konfiguration_Configuration!$N$6),Daten!$B$5:$F$99,5,FALSE)=1,"R/d","")</f>
        <v/>
      </c>
      <c r="AS152" s="184"/>
      <c r="AT152" s="188"/>
      <c r="AU152" s="239" t="str">
        <f>IF(VLOOKUP(CONCATENATE("1",Konfiguration_Configuration!$N$6),Daten!$B$5:$F$99,5,FALSE)=1,"R/d","")</f>
        <v/>
      </c>
      <c r="AV152" s="184"/>
      <c r="AW152" s="188"/>
      <c r="AX152" s="239" t="str">
        <f>IF(VLOOKUP(CONCATENATE("1",Konfiguration_Configuration!$N$6),Daten!$B$5:$F$99,5,FALSE)=1,"R/d","")</f>
        <v/>
      </c>
      <c r="AY152" s="184"/>
      <c r="AZ152" s="188"/>
      <c r="BA152" s="168">
        <f>VLOOKUP(CONCATENATE("1",Konfiguration_Configuration!$N$6),Daten!$B$5:$E$99,3,FALSE)</f>
        <v>1</v>
      </c>
      <c r="BB152" s="137" t="s">
        <v>244</v>
      </c>
      <c r="BC152" s="239" t="str">
        <f>IF(VLOOKUP(CONCATENATE("1",Konfiguration_Configuration!$N$6),Daten!$B$5:$F$99,5,FALSE)=1,"R/d","")</f>
        <v/>
      </c>
      <c r="BD152" s="184"/>
      <c r="BE152" s="188"/>
      <c r="BF152" s="239" t="str">
        <f>IF(VLOOKUP(CONCATENATE("1",Konfiguration_Configuration!$N$6),Daten!$B$5:$F$99,5,FALSE)=1,"R/d","")</f>
        <v/>
      </c>
      <c r="BG152" s="184"/>
      <c r="BH152" s="188"/>
      <c r="BI152" s="239" t="str">
        <f>IF(VLOOKUP(CONCATENATE("1",Konfiguration_Configuration!$N$6),Daten!$B$5:$F$99,5,FALSE)=1,"R/d","")</f>
        <v/>
      </c>
      <c r="BJ152" s="184"/>
      <c r="BK152" s="188"/>
      <c r="BL152" s="239" t="str">
        <f>IF(VLOOKUP(CONCATENATE("1",Konfiguration_Configuration!$N$6),Daten!$B$5:$F$99,5,FALSE)=1,"R/d","")</f>
        <v/>
      </c>
      <c r="BM152" s="184"/>
      <c r="BN152" s="188"/>
      <c r="BO152" s="239" t="str">
        <f>IF(VLOOKUP(CONCATENATE("1",Konfiguration_Configuration!$N$6),Daten!$B$5:$F$99,5,FALSE)=1,"R/d","")</f>
        <v/>
      </c>
      <c r="BP152" s="184"/>
      <c r="BQ152" s="188"/>
    </row>
    <row r="153" spans="1:73" ht="32.1" customHeight="1">
      <c r="A153" s="371" t="str">
        <f>VLOOKUP(CONCATENATE("1",Konfiguration_Configuration!$N$6),Daten!$B$5:$E$99,2,FALSE)</f>
        <v>v Übersetzen</v>
      </c>
      <c r="B153" s="169"/>
      <c r="C153" s="138"/>
      <c r="D153" s="232" t="str">
        <f>IF(VLOOKUP(CONCATENATE("1",Konfiguration_Configuration!$N$6),Daten!$B$5:$F$99,5,FALSE)=1,"L/g","")</f>
        <v/>
      </c>
      <c r="E153" s="185"/>
      <c r="F153" s="187" t="str">
        <f>IF(E152="","",MAX(E152,E153,E154)/10*$B$14+$B$14)</f>
        <v/>
      </c>
      <c r="G153" s="232" t="str">
        <f>IF(VLOOKUP(CONCATENATE("1",Konfiguration_Configuration!$N$6),Daten!$B$5:$F$99,5,FALSE)=1,"L/g","")</f>
        <v/>
      </c>
      <c r="H153" s="185"/>
      <c r="I153" s="187" t="str">
        <f>IF(H152="","",MAX(H152,H153,H154)/10*$B$14+$B$14)</f>
        <v/>
      </c>
      <c r="J153" s="232" t="str">
        <f>IF(VLOOKUP(CONCATENATE("1",Konfiguration_Configuration!$N$6),Daten!$B$5:$F$99,5,FALSE)=1,"L/g","")</f>
        <v/>
      </c>
      <c r="K153" s="185"/>
      <c r="L153" s="187" t="str">
        <f>IF(K152="","",MAX(K152,K153,K154)/10*$B$14+$B$14)</f>
        <v/>
      </c>
      <c r="M153" s="232" t="str">
        <f>IF(VLOOKUP(CONCATENATE("1",Konfiguration_Configuration!$N$6),Daten!$B$5:$F$99,5,FALSE)=1,"L/g","")</f>
        <v/>
      </c>
      <c r="N153" s="185"/>
      <c r="O153" s="187" t="str">
        <f>IF(N152="","",MAX(N152,N153,N154)/10*$B$14+$B$14)</f>
        <v/>
      </c>
      <c r="P153" s="232" t="str">
        <f>IF(VLOOKUP(CONCATENATE("1",Konfiguration_Configuration!$N$6),Daten!$B$5:$F$99,5,FALSE)=1,"L/g","")</f>
        <v/>
      </c>
      <c r="Q153" s="185"/>
      <c r="R153" s="187" t="str">
        <f>IF(Q152="","",MAX(Q152,Q153,Q154)/10*$B$14+$B$14)</f>
        <v/>
      </c>
      <c r="S153" s="169"/>
      <c r="T153" s="138"/>
      <c r="U153" s="232" t="str">
        <f>IF(VLOOKUP(CONCATENATE("1",Konfiguration_Configuration!$N$6),Daten!$B$5:$F$99,5,FALSE)=1,"L/g","")</f>
        <v/>
      </c>
      <c r="V153" s="185"/>
      <c r="W153" s="187" t="str">
        <f>IF(V152="","",MAX(V152,V153,V154)/10*$B$14+$B$14)</f>
        <v/>
      </c>
      <c r="X153" s="232" t="str">
        <f>IF(VLOOKUP(CONCATENATE("1",Konfiguration_Configuration!$N$6),Daten!$B$5:$F$99,5,FALSE)=1,"L/g","")</f>
        <v/>
      </c>
      <c r="Y153" s="185"/>
      <c r="Z153" s="187" t="str">
        <f>IF(Y152="","",MAX(Y152,Y153,Y154)/10*$B$14+$B$14)</f>
        <v/>
      </c>
      <c r="AA153" s="232" t="str">
        <f>IF(VLOOKUP(CONCATENATE("1",Konfiguration_Configuration!$N$6),Daten!$B$5:$F$99,5,FALSE)=1,"L/g","")</f>
        <v/>
      </c>
      <c r="AB153" s="185"/>
      <c r="AC153" s="187" t="str">
        <f>IF(AB152="","",MAX(AB152,AB153,AB154)/10*$B$14+$B$14)</f>
        <v/>
      </c>
      <c r="AD153" s="232" t="str">
        <f>IF(VLOOKUP(CONCATENATE("1",Konfiguration_Configuration!$N$6),Daten!$B$5:$F$99,5,FALSE)=1,"L/g","")</f>
        <v/>
      </c>
      <c r="AE153" s="185"/>
      <c r="AF153" s="187" t="str">
        <f>IF(AE152="","",MAX(AE152,AE153,AE154)/10*$B$14+$B$14)</f>
        <v/>
      </c>
      <c r="AG153" s="232" t="str">
        <f>IF(VLOOKUP(CONCATENATE("1",Konfiguration_Configuration!$N$6),Daten!$B$5:$F$99,5,FALSE)=1,"L/g","")</f>
        <v/>
      </c>
      <c r="AH153" s="185"/>
      <c r="AI153" s="187" t="str">
        <f>IF(AH152="","",MAX(AH152,AH153,AH154)/10*$B$14+$B$14)</f>
        <v/>
      </c>
      <c r="AJ153" s="169"/>
      <c r="AK153" s="138"/>
      <c r="AL153" s="232" t="str">
        <f>IF(VLOOKUP(CONCATENATE("1",Konfiguration_Configuration!$N$6),Daten!$B$5:$F$99,5,FALSE)=1,"L/g","")</f>
        <v/>
      </c>
      <c r="AM153" s="185"/>
      <c r="AN153" s="187" t="str">
        <f>IF(AM152="","",MAX(AM152,AM153,AM154)/10*$B$14+$B$14)</f>
        <v/>
      </c>
      <c r="AO153" s="232" t="str">
        <f>IF(VLOOKUP(CONCATENATE("1",Konfiguration_Configuration!$N$6),Daten!$B$5:$F$99,5,FALSE)=1,"L/g","")</f>
        <v/>
      </c>
      <c r="AP153" s="185"/>
      <c r="AQ153" s="187" t="str">
        <f>IF(AP152="","",MAX(AP152,AP153,AP154)/10*$B$14+$B$14)</f>
        <v/>
      </c>
      <c r="AR153" s="232" t="str">
        <f>IF(VLOOKUP(CONCATENATE("1",Konfiguration_Configuration!$N$6),Daten!$B$5:$F$99,5,FALSE)=1,"L/g","")</f>
        <v/>
      </c>
      <c r="AS153" s="185"/>
      <c r="AT153" s="187" t="str">
        <f>IF(AS152="","",MAX(AS152,AS153,AS154)/10*$B$14+$B$14)</f>
        <v/>
      </c>
      <c r="AU153" s="232" t="str">
        <f>IF(VLOOKUP(CONCATENATE("1",Konfiguration_Configuration!$N$6),Daten!$B$5:$F$99,5,FALSE)=1,"L/g","")</f>
        <v/>
      </c>
      <c r="AV153" s="185"/>
      <c r="AW153" s="187" t="str">
        <f>IF(AV152="","",MAX(AV152,AV153,AV154)/10*$B$14+$B$14)</f>
        <v/>
      </c>
      <c r="AX153" s="232" t="str">
        <f>IF(VLOOKUP(CONCATENATE("1",Konfiguration_Configuration!$N$6),Daten!$B$5:$F$99,5,FALSE)=1,"L/g","")</f>
        <v/>
      </c>
      <c r="AY153" s="185"/>
      <c r="AZ153" s="187" t="str">
        <f>IF(AY152="","",MAX(AY152,AY153,AY154)/10*$B$14+$B$14)</f>
        <v/>
      </c>
      <c r="BA153" s="169"/>
      <c r="BB153" s="138"/>
      <c r="BC153" s="232" t="str">
        <f>IF(VLOOKUP(CONCATENATE("1",Konfiguration_Configuration!$N$6),Daten!$B$5:$F$99,5,FALSE)=1,"L/g","")</f>
        <v/>
      </c>
      <c r="BD153" s="185"/>
      <c r="BE153" s="187" t="str">
        <f>IF(BD152="","",MAX(BD152,BD153,BD154)/10*$B$14+$B$14)</f>
        <v/>
      </c>
      <c r="BF153" s="232" t="str">
        <f>IF(VLOOKUP(CONCATENATE("1",Konfiguration_Configuration!$N$6),Daten!$B$5:$F$99,5,FALSE)=1,"L/g","")</f>
        <v/>
      </c>
      <c r="BG153" s="185"/>
      <c r="BH153" s="187" t="str">
        <f>IF(BG152="","",MAX(BG152,BG153,BG154)/10*$B$14+$B$14)</f>
        <v/>
      </c>
      <c r="BI153" s="232" t="str">
        <f>IF(VLOOKUP(CONCATENATE("1",Konfiguration_Configuration!$N$6),Daten!$B$5:$F$99,5,FALSE)=1,"L/g","")</f>
        <v/>
      </c>
      <c r="BJ153" s="185"/>
      <c r="BK153" s="187" t="str">
        <f>IF(BJ152="","",MAX(BJ152,BJ153,BJ154)/10*$B$14+$B$14)</f>
        <v/>
      </c>
      <c r="BL153" s="232" t="str">
        <f>IF(VLOOKUP(CONCATENATE("1",Konfiguration_Configuration!$N$6),Daten!$B$5:$F$99,5,FALSE)=1,"L/g","")</f>
        <v/>
      </c>
      <c r="BM153" s="185"/>
      <c r="BN153" s="187" t="str">
        <f>IF(BM152="","",MAX(BM152,BM153,BM154)/10*$B$14+$B$14)</f>
        <v/>
      </c>
      <c r="BO153" s="232" t="str">
        <f>IF(VLOOKUP(CONCATENATE("1",Konfiguration_Configuration!$N$6),Daten!$B$5:$F$99,5,FALSE)=1,"L/g","")</f>
        <v/>
      </c>
      <c r="BP153" s="185"/>
      <c r="BQ153" s="187" t="str">
        <f>IF(BP152="","",MAX(BP152,BP153,BP154)/10*$B$14+$B$14)</f>
        <v/>
      </c>
    </row>
    <row r="154" spans="1:73" ht="32.1" customHeight="1">
      <c r="A154" s="372"/>
      <c r="B154" s="170"/>
      <c r="C154" s="138" t="s">
        <v>245</v>
      </c>
      <c r="D154" s="135"/>
      <c r="E154" s="186"/>
      <c r="F154" s="189"/>
      <c r="G154" s="135"/>
      <c r="H154" s="186"/>
      <c r="I154" s="189"/>
      <c r="J154" s="135"/>
      <c r="K154" s="186"/>
      <c r="L154" s="189"/>
      <c r="M154" s="135"/>
      <c r="N154" s="186"/>
      <c r="O154" s="189"/>
      <c r="P154" s="135"/>
      <c r="Q154" s="186"/>
      <c r="R154" s="189"/>
      <c r="S154" s="170"/>
      <c r="T154" s="138" t="s">
        <v>245</v>
      </c>
      <c r="U154" s="135"/>
      <c r="V154" s="186"/>
      <c r="W154" s="189"/>
      <c r="X154" s="135"/>
      <c r="Y154" s="186"/>
      <c r="Z154" s="189"/>
      <c r="AA154" s="135"/>
      <c r="AB154" s="186"/>
      <c r="AC154" s="189"/>
      <c r="AD154" s="135"/>
      <c r="AE154" s="186"/>
      <c r="AF154" s="189"/>
      <c r="AG154" s="135"/>
      <c r="AH154" s="186"/>
      <c r="AI154" s="189"/>
      <c r="AJ154" s="170"/>
      <c r="AK154" s="138" t="s">
        <v>245</v>
      </c>
      <c r="AL154" s="135"/>
      <c r="AM154" s="186"/>
      <c r="AN154" s="189"/>
      <c r="AO154" s="135"/>
      <c r="AP154" s="186"/>
      <c r="AQ154" s="189"/>
      <c r="AR154" s="135"/>
      <c r="AS154" s="186"/>
      <c r="AT154" s="189"/>
      <c r="AU154" s="135"/>
      <c r="AV154" s="186"/>
      <c r="AW154" s="189"/>
      <c r="AX154" s="135"/>
      <c r="AY154" s="186"/>
      <c r="AZ154" s="189"/>
      <c r="BA154" s="170"/>
      <c r="BB154" s="138" t="s">
        <v>245</v>
      </c>
      <c r="BC154" s="135"/>
      <c r="BD154" s="186"/>
      <c r="BE154" s="189"/>
      <c r="BF154" s="135"/>
      <c r="BG154" s="186"/>
      <c r="BH154" s="189"/>
      <c r="BI154" s="135"/>
      <c r="BJ154" s="186"/>
      <c r="BK154" s="189"/>
      <c r="BL154" s="135"/>
      <c r="BM154" s="186"/>
      <c r="BN154" s="189"/>
      <c r="BO154" s="135"/>
      <c r="BP154" s="186"/>
      <c r="BQ154" s="189"/>
    </row>
    <row r="155" spans="1:73" ht="32.1" customHeight="1">
      <c r="A155" s="136" t="str">
        <f>CONCATENATE(LEFT(A$13,LEN(A$13)-1)," 2:")</f>
        <v>Element 2:</v>
      </c>
      <c r="B155" s="168">
        <f>VLOOKUP(CONCATENATE("2",Konfiguration_Configuration!$N$6),Daten!$B$5:$E$99,3,FALSE)</f>
        <v>1</v>
      </c>
      <c r="C155" s="137" t="s">
        <v>244</v>
      </c>
      <c r="D155" s="239" t="str">
        <f>IF(VLOOKUP(CONCATENATE("2",Konfiguration_Configuration!$N$6),Daten!$B$5:$F$99,5,FALSE)=1,"R/d","")</f>
        <v/>
      </c>
      <c r="E155" s="186"/>
      <c r="F155" s="190"/>
      <c r="G155" s="239" t="str">
        <f>IF(VLOOKUP(CONCATENATE("2",Konfiguration_Configuration!$N$6),Daten!$B$5:$F$99,5,FALSE)=1,"R/d","")</f>
        <v/>
      </c>
      <c r="H155" s="186"/>
      <c r="I155" s="190"/>
      <c r="J155" s="239" t="str">
        <f>IF(VLOOKUP(CONCATENATE("2",Konfiguration_Configuration!$N$6),Daten!$B$5:$F$99,5,FALSE)=1,"R/d","")</f>
        <v/>
      </c>
      <c r="K155" s="186"/>
      <c r="L155" s="190"/>
      <c r="M155" s="239" t="str">
        <f>IF(VLOOKUP(CONCATENATE("2",Konfiguration_Configuration!$N$6),Daten!$B$5:$F$99,5,FALSE)=1,"R/d","")</f>
        <v/>
      </c>
      <c r="N155" s="186"/>
      <c r="O155" s="190"/>
      <c r="P155" s="239" t="str">
        <f>IF(VLOOKUP(CONCATENATE("2",Konfiguration_Configuration!$N$6),Daten!$B$5:$F$99,5,FALSE)=1,"R/d","")</f>
        <v/>
      </c>
      <c r="Q155" s="186"/>
      <c r="R155" s="190"/>
      <c r="S155" s="168">
        <f>VLOOKUP(CONCATENATE("2",Konfiguration_Configuration!$N$6),Daten!$B$5:$E$99,3,FALSE)</f>
        <v>1</v>
      </c>
      <c r="T155" s="137" t="s">
        <v>244</v>
      </c>
      <c r="U155" s="239" t="str">
        <f>IF(VLOOKUP(CONCATENATE("2",Konfiguration_Configuration!$N$6),Daten!$B$5:$F$99,5,FALSE)=1,"R/d","")</f>
        <v/>
      </c>
      <c r="V155" s="186"/>
      <c r="W155" s="190"/>
      <c r="X155" s="239" t="str">
        <f>IF(VLOOKUP(CONCATENATE("2",Konfiguration_Configuration!$N$6),Daten!$B$5:$F$99,5,FALSE)=1,"R/d","")</f>
        <v/>
      </c>
      <c r="Y155" s="186"/>
      <c r="Z155" s="190"/>
      <c r="AA155" s="239" t="str">
        <f>IF(VLOOKUP(CONCATENATE("2",Konfiguration_Configuration!$N$6),Daten!$B$5:$F$99,5,FALSE)=1,"R/d","")</f>
        <v/>
      </c>
      <c r="AB155" s="186"/>
      <c r="AC155" s="190"/>
      <c r="AD155" s="239" t="str">
        <f>IF(VLOOKUP(CONCATENATE("2",Konfiguration_Configuration!$N$6),Daten!$B$5:$F$99,5,FALSE)=1,"R/d","")</f>
        <v/>
      </c>
      <c r="AE155" s="186"/>
      <c r="AF155" s="190"/>
      <c r="AG155" s="239" t="str">
        <f>IF(VLOOKUP(CONCATENATE("2",Konfiguration_Configuration!$N$6),Daten!$B$5:$F$99,5,FALSE)=1,"R/d","")</f>
        <v/>
      </c>
      <c r="AH155" s="186"/>
      <c r="AI155" s="190"/>
      <c r="AJ155" s="168">
        <f>VLOOKUP(CONCATENATE("2",Konfiguration_Configuration!$N$6),Daten!$B$5:$E$99,3,FALSE)</f>
        <v>1</v>
      </c>
      <c r="AK155" s="137" t="s">
        <v>244</v>
      </c>
      <c r="AL155" s="239" t="str">
        <f>IF(VLOOKUP(CONCATENATE("2",Konfiguration_Configuration!$N$6),Daten!$B$5:$F$99,5,FALSE)=1,"R/d","")</f>
        <v/>
      </c>
      <c r="AM155" s="186"/>
      <c r="AN155" s="190"/>
      <c r="AO155" s="239" t="str">
        <f>IF(VLOOKUP(CONCATENATE("2",Konfiguration_Configuration!$N$6),Daten!$B$5:$F$99,5,FALSE)=1,"R/d","")</f>
        <v/>
      </c>
      <c r="AP155" s="186"/>
      <c r="AQ155" s="190"/>
      <c r="AR155" s="239" t="str">
        <f>IF(VLOOKUP(CONCATENATE("2",Konfiguration_Configuration!$N$6),Daten!$B$5:$F$99,5,FALSE)=1,"R/d","")</f>
        <v/>
      </c>
      <c r="AS155" s="186"/>
      <c r="AT155" s="190"/>
      <c r="AU155" s="239" t="str">
        <f>IF(VLOOKUP(CONCATENATE("2",Konfiguration_Configuration!$N$6),Daten!$B$5:$F$99,5,FALSE)=1,"R/d","")</f>
        <v/>
      </c>
      <c r="AV155" s="186"/>
      <c r="AW155" s="190"/>
      <c r="AX155" s="239" t="str">
        <f>IF(VLOOKUP(CONCATENATE("2",Konfiguration_Configuration!$N$6),Daten!$B$5:$F$99,5,FALSE)=1,"R/d","")</f>
        <v/>
      </c>
      <c r="AY155" s="186"/>
      <c r="AZ155" s="190"/>
      <c r="BA155" s="168">
        <f>VLOOKUP(CONCATENATE("2",Konfiguration_Configuration!$N$6),Daten!$B$5:$E$99,3,FALSE)</f>
        <v>1</v>
      </c>
      <c r="BB155" s="137" t="s">
        <v>244</v>
      </c>
      <c r="BC155" s="239" t="str">
        <f>IF(VLOOKUP(CONCATENATE("2",Konfiguration_Configuration!$N$6),Daten!$B$5:$F$99,5,FALSE)=1,"R/d","")</f>
        <v/>
      </c>
      <c r="BD155" s="186"/>
      <c r="BE155" s="190"/>
      <c r="BF155" s="239" t="str">
        <f>IF(VLOOKUP(CONCATENATE("2",Konfiguration_Configuration!$N$6),Daten!$B$5:$F$99,5,FALSE)=1,"R/d","")</f>
        <v/>
      </c>
      <c r="BG155" s="186"/>
      <c r="BH155" s="190"/>
      <c r="BI155" s="239" t="str">
        <f>IF(VLOOKUP(CONCATENATE("2",Konfiguration_Configuration!$N$6),Daten!$B$5:$F$99,5,FALSE)=1,"R/d","")</f>
        <v/>
      </c>
      <c r="BJ155" s="186"/>
      <c r="BK155" s="190"/>
      <c r="BL155" s="239" t="str">
        <f>IF(VLOOKUP(CONCATENATE("2",Konfiguration_Configuration!$N$6),Daten!$B$5:$F$99,5,FALSE)=1,"R/d","")</f>
        <v/>
      </c>
      <c r="BM155" s="186"/>
      <c r="BN155" s="190"/>
      <c r="BO155" s="239" t="str">
        <f>IF(VLOOKUP(CONCATENATE("2",Konfiguration_Configuration!$N$6),Daten!$B$5:$F$99,5,FALSE)=1,"R/d","")</f>
        <v/>
      </c>
      <c r="BP155" s="186"/>
      <c r="BQ155" s="190"/>
    </row>
    <row r="156" spans="1:73" ht="32.1" customHeight="1">
      <c r="A156" s="371" t="str">
        <f>VLOOKUP(CONCATENATE("2",Konfiguration_Configuration!$N$6),Daten!$B$5:$E$99,2,FALSE)</f>
        <v>r Übersetzen</v>
      </c>
      <c r="B156" s="169"/>
      <c r="C156" s="137"/>
      <c r="D156" s="232" t="str">
        <f>IF(VLOOKUP(CONCATENATE("2",Konfiguration_Configuration!$N$6),Daten!$B$5:$F$99,5,FALSE)=1,"L/g","")</f>
        <v/>
      </c>
      <c r="E156" s="186"/>
      <c r="F156" s="187" t="str">
        <f>IF(E155="","",MAX(E155,E156,E157)/10*$B$17+$B$17)</f>
        <v/>
      </c>
      <c r="G156" s="232" t="str">
        <f>IF(VLOOKUP(CONCATENATE("2",Konfiguration_Configuration!$N$6),Daten!$B$5:$F$99,5,FALSE)=1,"L/g","")</f>
        <v/>
      </c>
      <c r="H156" s="186"/>
      <c r="I156" s="187" t="str">
        <f>IF(H155="","",MAX(H155,H156,H157)/10*$B$17+$B$17)</f>
        <v/>
      </c>
      <c r="J156" s="232" t="str">
        <f>IF(VLOOKUP(CONCATENATE("2",Konfiguration_Configuration!$N$6),Daten!$B$5:$F$99,5,FALSE)=1,"L/g","")</f>
        <v/>
      </c>
      <c r="K156" s="186"/>
      <c r="L156" s="187" t="str">
        <f>IF(K155="","",MAX(K155,K156,K157)/10*$B$17+$B$17)</f>
        <v/>
      </c>
      <c r="M156" s="232" t="str">
        <f>IF(VLOOKUP(CONCATENATE("2",Konfiguration_Configuration!$N$6),Daten!$B$5:$F$99,5,FALSE)=1,"L/g","")</f>
        <v/>
      </c>
      <c r="N156" s="186"/>
      <c r="O156" s="187" t="str">
        <f>IF(N155="","",MAX(N155,N156,N157)/10*$B$17+$B$17)</f>
        <v/>
      </c>
      <c r="P156" s="232" t="str">
        <f>IF(VLOOKUP(CONCATENATE("2",Konfiguration_Configuration!$N$6),Daten!$B$5:$F$99,5,FALSE)=1,"L/g","")</f>
        <v/>
      </c>
      <c r="Q156" s="186"/>
      <c r="R156" s="187" t="str">
        <f>IF(Q155="","",MAX(Q155,Q156,Q157)/10*$B$17+$B$17)</f>
        <v/>
      </c>
      <c r="S156" s="169"/>
      <c r="T156" s="137"/>
      <c r="U156" s="232" t="str">
        <f>IF(VLOOKUP(CONCATENATE("2",Konfiguration_Configuration!$N$6),Daten!$B$5:$F$99,5,FALSE)=1,"L/g","")</f>
        <v/>
      </c>
      <c r="V156" s="186"/>
      <c r="W156" s="187" t="str">
        <f>IF(V155="","",MAX(V155,V156,V157)/10*$B$17+$B$17)</f>
        <v/>
      </c>
      <c r="X156" s="232" t="str">
        <f>IF(VLOOKUP(CONCATENATE("2",Konfiguration_Configuration!$N$6),Daten!$B$5:$F$99,5,FALSE)=1,"L/g","")</f>
        <v/>
      </c>
      <c r="Y156" s="186"/>
      <c r="Z156" s="187" t="str">
        <f>IF(Y155="","",MAX(Y155,Y156,Y157)/10*$B$17+$B$17)</f>
        <v/>
      </c>
      <c r="AA156" s="232" t="str">
        <f>IF(VLOOKUP(CONCATENATE("2",Konfiguration_Configuration!$N$6),Daten!$B$5:$F$99,5,FALSE)=1,"L/g","")</f>
        <v/>
      </c>
      <c r="AB156" s="186"/>
      <c r="AC156" s="187" t="str">
        <f>IF(AB155="","",MAX(AB155,AB156,AB157)/10*$B$17+$B$17)</f>
        <v/>
      </c>
      <c r="AD156" s="232" t="str">
        <f>IF(VLOOKUP(CONCATENATE("2",Konfiguration_Configuration!$N$6),Daten!$B$5:$F$99,5,FALSE)=1,"L/g","")</f>
        <v/>
      </c>
      <c r="AE156" s="186"/>
      <c r="AF156" s="187" t="str">
        <f>IF(AE155="","",MAX(AE155,AE156,AE157)/10*$B$17+$B$17)</f>
        <v/>
      </c>
      <c r="AG156" s="232" t="str">
        <f>IF(VLOOKUP(CONCATENATE("2",Konfiguration_Configuration!$N$6),Daten!$B$5:$F$99,5,FALSE)=1,"L/g","")</f>
        <v/>
      </c>
      <c r="AH156" s="186"/>
      <c r="AI156" s="187" t="str">
        <f>IF(AH155="","",MAX(AH155,AH156,AH157)/10*$B$17+$B$17)</f>
        <v/>
      </c>
      <c r="AJ156" s="169"/>
      <c r="AK156" s="137"/>
      <c r="AL156" s="232" t="str">
        <f>IF(VLOOKUP(CONCATENATE("2",Konfiguration_Configuration!$N$6),Daten!$B$5:$F$99,5,FALSE)=1,"L/g","")</f>
        <v/>
      </c>
      <c r="AM156" s="186"/>
      <c r="AN156" s="187" t="str">
        <f>IF(AM155="","",MAX(AM155,AM156,AM157)/10*$B$17+$B$17)</f>
        <v/>
      </c>
      <c r="AO156" s="232" t="str">
        <f>IF(VLOOKUP(CONCATENATE("2",Konfiguration_Configuration!$N$6),Daten!$B$5:$F$99,5,FALSE)=1,"L/g","")</f>
        <v/>
      </c>
      <c r="AP156" s="186"/>
      <c r="AQ156" s="187" t="str">
        <f>IF(AP155="","",MAX(AP155,AP156,AP157)/10*$B$17+$B$17)</f>
        <v/>
      </c>
      <c r="AR156" s="232" t="str">
        <f>IF(VLOOKUP(CONCATENATE("2",Konfiguration_Configuration!$N$6),Daten!$B$5:$F$99,5,FALSE)=1,"L/g","")</f>
        <v/>
      </c>
      <c r="AS156" s="186"/>
      <c r="AT156" s="187" t="str">
        <f>IF(AS155="","",MAX(AS155,AS156,AS157)/10*$B$17+$B$17)</f>
        <v/>
      </c>
      <c r="AU156" s="232" t="str">
        <f>IF(VLOOKUP(CONCATENATE("2",Konfiguration_Configuration!$N$6),Daten!$B$5:$F$99,5,FALSE)=1,"L/g","")</f>
        <v/>
      </c>
      <c r="AV156" s="186"/>
      <c r="AW156" s="187" t="str">
        <f>IF(AV155="","",MAX(AV155,AV156,AV157)/10*$B$17+$B$17)</f>
        <v/>
      </c>
      <c r="AX156" s="232" t="str">
        <f>IF(VLOOKUP(CONCATENATE("2",Konfiguration_Configuration!$N$6),Daten!$B$5:$F$99,5,FALSE)=1,"L/g","")</f>
        <v/>
      </c>
      <c r="AY156" s="186"/>
      <c r="AZ156" s="187" t="str">
        <f>IF(AY155="","",MAX(AY155,AY156,AY157)/10*$B$17+$B$17)</f>
        <v/>
      </c>
      <c r="BA156" s="169"/>
      <c r="BB156" s="137"/>
      <c r="BC156" s="232" t="str">
        <f>IF(VLOOKUP(CONCATENATE("2",Konfiguration_Configuration!$N$6),Daten!$B$5:$F$99,5,FALSE)=1,"L/g","")</f>
        <v/>
      </c>
      <c r="BD156" s="186"/>
      <c r="BE156" s="187" t="str">
        <f>IF(BD155="","",MAX(BD155,BD156,BD157)/10*$B$17+$B$17)</f>
        <v/>
      </c>
      <c r="BF156" s="232" t="str">
        <f>IF(VLOOKUP(CONCATENATE("2",Konfiguration_Configuration!$N$6),Daten!$B$5:$F$99,5,FALSE)=1,"L/g","")</f>
        <v/>
      </c>
      <c r="BG156" s="186"/>
      <c r="BH156" s="187" t="str">
        <f>IF(BG155="","",MAX(BG155,BG156,BG157)/10*$B$17+$B$17)</f>
        <v/>
      </c>
      <c r="BI156" s="232" t="str">
        <f>IF(VLOOKUP(CONCATENATE("2",Konfiguration_Configuration!$N$6),Daten!$B$5:$F$99,5,FALSE)=1,"L/g","")</f>
        <v/>
      </c>
      <c r="BJ156" s="186"/>
      <c r="BK156" s="187" t="str">
        <f>IF(BJ155="","",MAX(BJ155,BJ156,BJ157)/10*$B$17+$B$17)</f>
        <v/>
      </c>
      <c r="BL156" s="232" t="str">
        <f>IF(VLOOKUP(CONCATENATE("2",Konfiguration_Configuration!$N$6),Daten!$B$5:$F$99,5,FALSE)=1,"L/g","")</f>
        <v/>
      </c>
      <c r="BM156" s="186"/>
      <c r="BN156" s="187" t="str">
        <f>IF(BM155="","",MAX(BM155,BM156,BM157)/10*$B$17+$B$17)</f>
        <v/>
      </c>
      <c r="BO156" s="232" t="str">
        <f>IF(VLOOKUP(CONCATENATE("2",Konfiguration_Configuration!$N$6),Daten!$B$5:$F$99,5,FALSE)=1,"L/g","")</f>
        <v/>
      </c>
      <c r="BP156" s="186"/>
      <c r="BQ156" s="187" t="str">
        <f>IF(BP155="","",MAX(BP155,BP156,BP157)/10*$B$17+$B$17)</f>
        <v/>
      </c>
    </row>
    <row r="157" spans="1:73" ht="32.1" customHeight="1">
      <c r="A157" s="372"/>
      <c r="B157" s="170"/>
      <c r="C157" s="137" t="s">
        <v>245</v>
      </c>
      <c r="D157" s="135"/>
      <c r="E157" s="186"/>
      <c r="F157" s="191"/>
      <c r="G157" s="135"/>
      <c r="H157" s="186"/>
      <c r="I157" s="191"/>
      <c r="J157" s="135"/>
      <c r="K157" s="186"/>
      <c r="L157" s="191"/>
      <c r="M157" s="135"/>
      <c r="N157" s="186"/>
      <c r="O157" s="191"/>
      <c r="P157" s="135"/>
      <c r="Q157" s="186"/>
      <c r="R157" s="191"/>
      <c r="S157" s="170"/>
      <c r="T157" s="137" t="s">
        <v>245</v>
      </c>
      <c r="U157" s="135"/>
      <c r="V157" s="186"/>
      <c r="W157" s="191"/>
      <c r="X157" s="135"/>
      <c r="Y157" s="186"/>
      <c r="Z157" s="191"/>
      <c r="AA157" s="135"/>
      <c r="AB157" s="186"/>
      <c r="AC157" s="191"/>
      <c r="AD157" s="135"/>
      <c r="AE157" s="186"/>
      <c r="AF157" s="191"/>
      <c r="AG157" s="135"/>
      <c r="AH157" s="186"/>
      <c r="AI157" s="191"/>
      <c r="AJ157" s="170"/>
      <c r="AK157" s="137" t="s">
        <v>245</v>
      </c>
      <c r="AL157" s="135"/>
      <c r="AM157" s="186"/>
      <c r="AN157" s="191"/>
      <c r="AO157" s="135"/>
      <c r="AP157" s="186"/>
      <c r="AQ157" s="191"/>
      <c r="AR157" s="135"/>
      <c r="AS157" s="186"/>
      <c r="AT157" s="191"/>
      <c r="AU157" s="135"/>
      <c r="AV157" s="186"/>
      <c r="AW157" s="191"/>
      <c r="AX157" s="135"/>
      <c r="AY157" s="186"/>
      <c r="AZ157" s="191"/>
      <c r="BA157" s="170"/>
      <c r="BB157" s="137" t="s">
        <v>245</v>
      </c>
      <c r="BC157" s="135"/>
      <c r="BD157" s="186"/>
      <c r="BE157" s="191"/>
      <c r="BF157" s="135"/>
      <c r="BG157" s="186"/>
      <c r="BH157" s="191"/>
      <c r="BI157" s="135"/>
      <c r="BJ157" s="186"/>
      <c r="BK157" s="191"/>
      <c r="BL157" s="135"/>
      <c r="BM157" s="186"/>
      <c r="BN157" s="191"/>
      <c r="BO157" s="135"/>
      <c r="BP157" s="186"/>
      <c r="BQ157" s="191"/>
    </row>
    <row r="158" spans="1:73" ht="32.1" customHeight="1">
      <c r="A158" s="136" t="str">
        <f>CONCATENATE(LEFT(A$13,LEN(A$13)-1)," 3:")</f>
        <v>Element 3:</v>
      </c>
      <c r="B158" s="168">
        <f>VLOOKUP(CONCATENATE("3",Konfiguration_Configuration!$N$6),Daten!$B$5:$E$99,3,FALSE)</f>
        <v>1</v>
      </c>
      <c r="C158" s="137" t="s">
        <v>244</v>
      </c>
      <c r="D158" s="239" t="str">
        <f>IF(VLOOKUP(CONCATENATE("3",Konfiguration_Configuration!$N$6),Daten!$B$5:$F$99,5,FALSE)=1,"R/d","")</f>
        <v>R/d</v>
      </c>
      <c r="E158" s="186"/>
      <c r="F158" s="190"/>
      <c r="G158" s="239" t="str">
        <f>IF(VLOOKUP(CONCATENATE("3",Konfiguration_Configuration!$N$6),Daten!$B$5:$F$99,5,FALSE)=1,"R/d","")</f>
        <v>R/d</v>
      </c>
      <c r="H158" s="186"/>
      <c r="I158" s="190"/>
      <c r="J158" s="239" t="str">
        <f>IF(VLOOKUP(CONCATENATE("3",Konfiguration_Configuration!$N$6),Daten!$B$5:$F$99,5,FALSE)=1,"R/d","")</f>
        <v>R/d</v>
      </c>
      <c r="K158" s="186"/>
      <c r="L158" s="190"/>
      <c r="M158" s="239" t="str">
        <f>IF(VLOOKUP(CONCATENATE("3",Konfiguration_Configuration!$N$6),Daten!$B$5:$F$99,5,FALSE)=1,"R/d","")</f>
        <v>R/d</v>
      </c>
      <c r="N158" s="186"/>
      <c r="O158" s="190"/>
      <c r="P158" s="239" t="str">
        <f>IF(VLOOKUP(CONCATENATE("3",Konfiguration_Configuration!$N$6),Daten!$B$5:$F$99,5,FALSE)=1,"R/d","")</f>
        <v>R/d</v>
      </c>
      <c r="Q158" s="186"/>
      <c r="R158" s="190"/>
      <c r="S158" s="168">
        <f>VLOOKUP(CONCATENATE("3",Konfiguration_Configuration!$N$6),Daten!$B$5:$E$99,3,FALSE)</f>
        <v>1</v>
      </c>
      <c r="T158" s="137" t="s">
        <v>244</v>
      </c>
      <c r="U158" s="239" t="str">
        <f>IF(VLOOKUP(CONCATENATE("3",Konfiguration_Configuration!$N$6),Daten!$B$5:$F$99,5,FALSE)=1,"R/d","")</f>
        <v>R/d</v>
      </c>
      <c r="V158" s="186"/>
      <c r="W158" s="190"/>
      <c r="X158" s="239" t="str">
        <f>IF(VLOOKUP(CONCATENATE("3",Konfiguration_Configuration!$N$6),Daten!$B$5:$F$99,5,FALSE)=1,"R/d","")</f>
        <v>R/d</v>
      </c>
      <c r="Y158" s="186"/>
      <c r="Z158" s="190"/>
      <c r="AA158" s="239" t="str">
        <f>IF(VLOOKUP(CONCATENATE("3",Konfiguration_Configuration!$N$6),Daten!$B$5:$F$99,5,FALSE)=1,"R/d","")</f>
        <v>R/d</v>
      </c>
      <c r="AB158" s="186"/>
      <c r="AC158" s="190"/>
      <c r="AD158" s="239" t="str">
        <f>IF(VLOOKUP(CONCATENATE("3",Konfiguration_Configuration!$N$6),Daten!$B$5:$F$99,5,FALSE)=1,"R/d","")</f>
        <v>R/d</v>
      </c>
      <c r="AE158" s="186"/>
      <c r="AF158" s="190"/>
      <c r="AG158" s="239" t="str">
        <f>IF(VLOOKUP(CONCATENATE("3",Konfiguration_Configuration!$N$6),Daten!$B$5:$F$99,5,FALSE)=1,"R/d","")</f>
        <v>R/d</v>
      </c>
      <c r="AH158" s="186"/>
      <c r="AI158" s="190"/>
      <c r="AJ158" s="168">
        <f>VLOOKUP(CONCATENATE("3",Konfiguration_Configuration!$N$6),Daten!$B$5:$E$99,3,FALSE)</f>
        <v>1</v>
      </c>
      <c r="AK158" s="137" t="s">
        <v>244</v>
      </c>
      <c r="AL158" s="239" t="str">
        <f>IF(VLOOKUP(CONCATENATE("3",Konfiguration_Configuration!$N$6),Daten!$B$5:$F$99,5,FALSE)=1,"R/d","")</f>
        <v>R/d</v>
      </c>
      <c r="AM158" s="186"/>
      <c r="AN158" s="190"/>
      <c r="AO158" s="239" t="str">
        <f>IF(VLOOKUP(CONCATENATE("3",Konfiguration_Configuration!$N$6),Daten!$B$5:$F$99,5,FALSE)=1,"R/d","")</f>
        <v>R/d</v>
      </c>
      <c r="AP158" s="186"/>
      <c r="AQ158" s="190"/>
      <c r="AR158" s="239" t="str">
        <f>IF(VLOOKUP(CONCATENATE("3",Konfiguration_Configuration!$N$6),Daten!$B$5:$F$99,5,FALSE)=1,"R/d","")</f>
        <v>R/d</v>
      </c>
      <c r="AS158" s="186"/>
      <c r="AT158" s="190"/>
      <c r="AU158" s="239" t="str">
        <f>IF(VLOOKUP(CONCATENATE("3",Konfiguration_Configuration!$N$6),Daten!$B$5:$F$99,5,FALSE)=1,"R/d","")</f>
        <v>R/d</v>
      </c>
      <c r="AV158" s="186"/>
      <c r="AW158" s="190"/>
      <c r="AX158" s="239" t="str">
        <f>IF(VLOOKUP(CONCATENATE("3",Konfiguration_Configuration!$N$6),Daten!$B$5:$F$99,5,FALSE)=1,"R/d","")</f>
        <v>R/d</v>
      </c>
      <c r="AY158" s="186"/>
      <c r="AZ158" s="190"/>
      <c r="BA158" s="168">
        <f>VLOOKUP(CONCATENATE("3",Konfiguration_Configuration!$N$6),Daten!$B$5:$E$99,3,FALSE)</f>
        <v>1</v>
      </c>
      <c r="BB158" s="137" t="s">
        <v>244</v>
      </c>
      <c r="BC158" s="239" t="str">
        <f>IF(VLOOKUP(CONCATENATE("3",Konfiguration_Configuration!$N$6),Daten!$B$5:$F$99,5,FALSE)=1,"R/d","")</f>
        <v>R/d</v>
      </c>
      <c r="BD158" s="186"/>
      <c r="BE158" s="190"/>
      <c r="BF158" s="239" t="str">
        <f>IF(VLOOKUP(CONCATENATE("3",Konfiguration_Configuration!$N$6),Daten!$B$5:$F$99,5,FALSE)=1,"R/d","")</f>
        <v>R/d</v>
      </c>
      <c r="BG158" s="186"/>
      <c r="BH158" s="190"/>
      <c r="BI158" s="239" t="str">
        <f>IF(VLOOKUP(CONCATENATE("3",Konfiguration_Configuration!$N$6),Daten!$B$5:$F$99,5,FALSE)=1,"R/d","")</f>
        <v>R/d</v>
      </c>
      <c r="BJ158" s="186"/>
      <c r="BK158" s="190"/>
      <c r="BL158" s="239" t="str">
        <f>IF(VLOOKUP(CONCATENATE("3",Konfiguration_Configuration!$N$6),Daten!$B$5:$F$99,5,FALSE)=1,"R/d","")</f>
        <v>R/d</v>
      </c>
      <c r="BM158" s="186"/>
      <c r="BN158" s="190"/>
      <c r="BO158" s="239" t="str">
        <f>IF(VLOOKUP(CONCATENATE("3",Konfiguration_Configuration!$N$6),Daten!$B$5:$F$99,5,FALSE)=1,"R/d","")</f>
        <v>R/d</v>
      </c>
      <c r="BP158" s="186"/>
      <c r="BQ158" s="190"/>
    </row>
    <row r="159" spans="1:73" ht="32.1" customHeight="1">
      <c r="A159" s="371" t="str">
        <f>VLOOKUP(CONCATENATE("3",Konfiguration_Configuration!$N$6),Daten!$B$5:$E$99,2,FALSE)</f>
        <v>va Dr-re Dr</v>
      </c>
      <c r="B159" s="169"/>
      <c r="C159" s="137"/>
      <c r="D159" s="232" t="str">
        <f>IF(VLOOKUP(CONCATENATE("3",Konfiguration_Configuration!$N$6),Daten!$B$5:$F$99,5,FALSE)=1,"L/g","")</f>
        <v>L/g</v>
      </c>
      <c r="E159" s="185"/>
      <c r="F159" s="187" t="str">
        <f>IF(E158="","",MAX(E158,E159,E160)/10*$B$20+$B$20)</f>
        <v/>
      </c>
      <c r="G159" s="232" t="str">
        <f>IF(VLOOKUP(CONCATENATE("3",Konfiguration_Configuration!$N$6),Daten!$B$5:$F$99,5,FALSE)=1,"L/g","")</f>
        <v>L/g</v>
      </c>
      <c r="H159" s="185"/>
      <c r="I159" s="187" t="str">
        <f>IF(H158="","",MAX(H158,H159,H160)/10*$B$20+$B$20)</f>
        <v/>
      </c>
      <c r="J159" s="232" t="str">
        <f>IF(VLOOKUP(CONCATENATE("3",Konfiguration_Configuration!$N$6),Daten!$B$5:$F$99,5,FALSE)=1,"L/g","")</f>
        <v>L/g</v>
      </c>
      <c r="K159" s="185"/>
      <c r="L159" s="187" t="str">
        <f>IF(K158="","",MAX(K158,K159,K160)/10*$B$20+$B$20)</f>
        <v/>
      </c>
      <c r="M159" s="232" t="str">
        <f>IF(VLOOKUP(CONCATENATE("3",Konfiguration_Configuration!$N$6),Daten!$B$5:$F$99,5,FALSE)=1,"L/g","")</f>
        <v>L/g</v>
      </c>
      <c r="N159" s="185"/>
      <c r="O159" s="187" t="str">
        <f>IF(N158="","",MAX(N158,N159,N160)/10*$B$20+$B$20)</f>
        <v/>
      </c>
      <c r="P159" s="232" t="str">
        <f>IF(VLOOKUP(CONCATENATE("3",Konfiguration_Configuration!$N$6),Daten!$B$5:$F$99,5,FALSE)=1,"L/g","")</f>
        <v>L/g</v>
      </c>
      <c r="Q159" s="185"/>
      <c r="R159" s="187" t="str">
        <f>IF(Q158="","",MAX(Q158,Q159,Q160)/10*$B$20+$B$20)</f>
        <v/>
      </c>
      <c r="S159" s="169"/>
      <c r="T159" s="137"/>
      <c r="U159" s="232" t="str">
        <f>IF(VLOOKUP(CONCATENATE("3",Konfiguration_Configuration!$N$6),Daten!$B$5:$F$99,5,FALSE)=1,"L/g","")</f>
        <v>L/g</v>
      </c>
      <c r="V159" s="185"/>
      <c r="W159" s="187" t="str">
        <f>IF(V158="","",MAX(V158,V159,V160)/10*$B$20+$B$20)</f>
        <v/>
      </c>
      <c r="X159" s="232" t="str">
        <f>IF(VLOOKUP(CONCATENATE("3",Konfiguration_Configuration!$N$6),Daten!$B$5:$F$99,5,FALSE)=1,"L/g","")</f>
        <v>L/g</v>
      </c>
      <c r="Y159" s="185"/>
      <c r="Z159" s="187" t="str">
        <f>IF(Y158="","",MAX(Y158,Y159,Y160)/10*$B$20+$B$20)</f>
        <v/>
      </c>
      <c r="AA159" s="232" t="str">
        <f>IF(VLOOKUP(CONCATENATE("3",Konfiguration_Configuration!$N$6),Daten!$B$5:$F$99,5,FALSE)=1,"L/g","")</f>
        <v>L/g</v>
      </c>
      <c r="AB159" s="185"/>
      <c r="AC159" s="187" t="str">
        <f>IF(AB158="","",MAX(AB158,AB159,AB160)/10*$B$20+$B$20)</f>
        <v/>
      </c>
      <c r="AD159" s="232" t="str">
        <f>IF(VLOOKUP(CONCATENATE("3",Konfiguration_Configuration!$N$6),Daten!$B$5:$F$99,5,FALSE)=1,"L/g","")</f>
        <v>L/g</v>
      </c>
      <c r="AE159" s="185"/>
      <c r="AF159" s="187" t="str">
        <f>IF(AE158="","",MAX(AE158,AE159,AE160)/10*$B$20+$B$20)</f>
        <v/>
      </c>
      <c r="AG159" s="232" t="str">
        <f>IF(VLOOKUP(CONCATENATE("3",Konfiguration_Configuration!$N$6),Daten!$B$5:$F$99,5,FALSE)=1,"L/g","")</f>
        <v>L/g</v>
      </c>
      <c r="AH159" s="185"/>
      <c r="AI159" s="187" t="str">
        <f>IF(AH158="","",MAX(AH158,AH159,AH160)/10*$B$20+$B$20)</f>
        <v/>
      </c>
      <c r="AJ159" s="169"/>
      <c r="AK159" s="137"/>
      <c r="AL159" s="232" t="str">
        <f>IF(VLOOKUP(CONCATENATE("3",Konfiguration_Configuration!$N$6),Daten!$B$5:$F$99,5,FALSE)=1,"L/g","")</f>
        <v>L/g</v>
      </c>
      <c r="AM159" s="185"/>
      <c r="AN159" s="187" t="str">
        <f>IF(AM158="","",MAX(AM158,AM159,AM160)/10*$B$20+$B$20)</f>
        <v/>
      </c>
      <c r="AO159" s="232" t="str">
        <f>IF(VLOOKUP(CONCATENATE("3",Konfiguration_Configuration!$N$6),Daten!$B$5:$F$99,5,FALSE)=1,"L/g","")</f>
        <v>L/g</v>
      </c>
      <c r="AP159" s="185"/>
      <c r="AQ159" s="187" t="str">
        <f>IF(AP158="","",MAX(AP158,AP159,AP160)/10*$B$20+$B$20)</f>
        <v/>
      </c>
      <c r="AR159" s="232" t="str">
        <f>IF(VLOOKUP(CONCATENATE("3",Konfiguration_Configuration!$N$6),Daten!$B$5:$F$99,5,FALSE)=1,"L/g","")</f>
        <v>L/g</v>
      </c>
      <c r="AS159" s="185"/>
      <c r="AT159" s="187" t="str">
        <f>IF(AS158="","",MAX(AS158,AS159,AS160)/10*$B$20+$B$20)</f>
        <v/>
      </c>
      <c r="AU159" s="232" t="str">
        <f>IF(VLOOKUP(CONCATENATE("3",Konfiguration_Configuration!$N$6),Daten!$B$5:$F$99,5,FALSE)=1,"L/g","")</f>
        <v>L/g</v>
      </c>
      <c r="AV159" s="185"/>
      <c r="AW159" s="187" t="str">
        <f>IF(AV158="","",MAX(AV158,AV159,AV160)/10*$B$20+$B$20)</f>
        <v/>
      </c>
      <c r="AX159" s="232" t="str">
        <f>IF(VLOOKUP(CONCATENATE("3",Konfiguration_Configuration!$N$6),Daten!$B$5:$F$99,5,FALSE)=1,"L/g","")</f>
        <v>L/g</v>
      </c>
      <c r="AY159" s="185"/>
      <c r="AZ159" s="187" t="str">
        <f>IF(AY158="","",MAX(AY158,AY159,AY160)/10*$B$20+$B$20)</f>
        <v/>
      </c>
      <c r="BA159" s="169"/>
      <c r="BB159" s="137"/>
      <c r="BC159" s="232" t="str">
        <f>IF(VLOOKUP(CONCATENATE("3",Konfiguration_Configuration!$N$6),Daten!$B$5:$F$99,5,FALSE)=1,"L/g","")</f>
        <v>L/g</v>
      </c>
      <c r="BD159" s="185"/>
      <c r="BE159" s="187" t="str">
        <f>IF(BD158="","",MAX(BD158,BD159,BD160)/10*$B$20+$B$20)</f>
        <v/>
      </c>
      <c r="BF159" s="232" t="str">
        <f>IF(VLOOKUP(CONCATENATE("3",Konfiguration_Configuration!$N$6),Daten!$B$5:$F$99,5,FALSE)=1,"L/g","")</f>
        <v>L/g</v>
      </c>
      <c r="BG159" s="185"/>
      <c r="BH159" s="187" t="str">
        <f>IF(BG158="","",MAX(BG158,BG159,BG160)/10*$B$20+$B$20)</f>
        <v/>
      </c>
      <c r="BI159" s="232" t="str">
        <f>IF(VLOOKUP(CONCATENATE("3",Konfiguration_Configuration!$N$6),Daten!$B$5:$F$99,5,FALSE)=1,"L/g","")</f>
        <v>L/g</v>
      </c>
      <c r="BJ159" s="185"/>
      <c r="BK159" s="187" t="str">
        <f>IF(BJ158="","",MAX(BJ158,BJ159,BJ160)/10*$B$20+$B$20)</f>
        <v/>
      </c>
      <c r="BL159" s="232" t="str">
        <f>IF(VLOOKUP(CONCATENATE("3",Konfiguration_Configuration!$N$6),Daten!$B$5:$F$99,5,FALSE)=1,"L/g","")</f>
        <v>L/g</v>
      </c>
      <c r="BM159" s="185"/>
      <c r="BN159" s="187" t="str">
        <f>IF(BM158="","",MAX(BM158,BM159,BM160)/10*$B$20+$B$20)</f>
        <v/>
      </c>
      <c r="BO159" s="232" t="str">
        <f>IF(VLOOKUP(CONCATENATE("3",Konfiguration_Configuration!$N$6),Daten!$B$5:$F$99,5,FALSE)=1,"L/g","")</f>
        <v>L/g</v>
      </c>
      <c r="BP159" s="185"/>
      <c r="BQ159" s="187" t="str">
        <f>IF(BP158="","",MAX(BP158,BP159,BP160)/10*$B$20+$B$20)</f>
        <v/>
      </c>
    </row>
    <row r="160" spans="1:73" ht="32.1" customHeight="1">
      <c r="A160" s="372"/>
      <c r="B160" s="170"/>
      <c r="C160" s="137" t="s">
        <v>245</v>
      </c>
      <c r="D160" s="139"/>
      <c r="E160" s="185"/>
      <c r="F160" s="191"/>
      <c r="G160" s="139"/>
      <c r="H160" s="185"/>
      <c r="I160" s="191"/>
      <c r="J160" s="139"/>
      <c r="K160" s="185"/>
      <c r="L160" s="191"/>
      <c r="M160" s="139"/>
      <c r="N160" s="185"/>
      <c r="O160" s="191"/>
      <c r="P160" s="139"/>
      <c r="Q160" s="185"/>
      <c r="R160" s="191"/>
      <c r="S160" s="170"/>
      <c r="T160" s="137" t="s">
        <v>245</v>
      </c>
      <c r="U160" s="139"/>
      <c r="V160" s="185"/>
      <c r="W160" s="191"/>
      <c r="X160" s="139"/>
      <c r="Y160" s="185"/>
      <c r="Z160" s="191"/>
      <c r="AA160" s="139"/>
      <c r="AB160" s="185"/>
      <c r="AC160" s="191"/>
      <c r="AD160" s="139"/>
      <c r="AE160" s="185"/>
      <c r="AF160" s="191"/>
      <c r="AG160" s="139"/>
      <c r="AH160" s="185"/>
      <c r="AI160" s="191"/>
      <c r="AJ160" s="170"/>
      <c r="AK160" s="137" t="s">
        <v>245</v>
      </c>
      <c r="AL160" s="139"/>
      <c r="AM160" s="185"/>
      <c r="AN160" s="191"/>
      <c r="AO160" s="139"/>
      <c r="AP160" s="185"/>
      <c r="AQ160" s="191"/>
      <c r="AR160" s="139"/>
      <c r="AS160" s="185"/>
      <c r="AT160" s="191"/>
      <c r="AU160" s="139"/>
      <c r="AV160" s="185"/>
      <c r="AW160" s="191"/>
      <c r="AX160" s="139"/>
      <c r="AY160" s="185"/>
      <c r="AZ160" s="191"/>
      <c r="BA160" s="170"/>
      <c r="BB160" s="137" t="s">
        <v>245</v>
      </c>
      <c r="BC160" s="139"/>
      <c r="BD160" s="185"/>
      <c r="BE160" s="191"/>
      <c r="BF160" s="139"/>
      <c r="BG160" s="185"/>
      <c r="BH160" s="191"/>
      <c r="BI160" s="139"/>
      <c r="BJ160" s="185"/>
      <c r="BK160" s="191"/>
      <c r="BL160" s="139"/>
      <c r="BM160" s="185"/>
      <c r="BN160" s="191"/>
      <c r="BO160" s="139"/>
      <c r="BP160" s="185"/>
      <c r="BQ160" s="191"/>
    </row>
    <row r="161" spans="1:73" ht="32.1" customHeight="1">
      <c r="A161" s="136" t="str">
        <f>CONCATENATE(LEFT(A$13,LEN(A$13)-1)," 4:")</f>
        <v>Element 4:</v>
      </c>
      <c r="B161" s="168">
        <f>VLOOKUP(CONCATENATE("4",Konfiguration_Configuration!$N$6),Daten!$B$5:$E$99,3,FALSE)</f>
        <v>1</v>
      </c>
      <c r="C161" s="137" t="s">
        <v>244</v>
      </c>
      <c r="D161" s="239" t="str">
        <f>IF(VLOOKUP(CONCATENATE("4",Konfiguration_Configuration!$N$6),Daten!$B$5:$F$99,5,FALSE)=1,"R/d","")</f>
        <v>R/d</v>
      </c>
      <c r="E161" s="186"/>
      <c r="F161" s="190"/>
      <c r="G161" s="239" t="str">
        <f>IF(VLOOKUP(CONCATENATE("4",Konfiguration_Configuration!$N$6),Daten!$B$5:$F$99,5,FALSE)=1,"R/d","")</f>
        <v>R/d</v>
      </c>
      <c r="H161" s="186"/>
      <c r="I161" s="190"/>
      <c r="J161" s="239" t="str">
        <f>IF(VLOOKUP(CONCATENATE("4",Konfiguration_Configuration!$N$6),Daten!$B$5:$F$99,5,FALSE)=1,"R/d","")</f>
        <v>R/d</v>
      </c>
      <c r="K161" s="186"/>
      <c r="L161" s="190"/>
      <c r="M161" s="239" t="str">
        <f>IF(VLOOKUP(CONCATENATE("4",Konfiguration_Configuration!$N$6),Daten!$B$5:$F$99,5,FALSE)=1,"R/d","")</f>
        <v>R/d</v>
      </c>
      <c r="N161" s="186"/>
      <c r="O161" s="190"/>
      <c r="P161" s="239" t="str">
        <f>IF(VLOOKUP(CONCATENATE("4",Konfiguration_Configuration!$N$6),Daten!$B$5:$F$99,5,FALSE)=1,"R/d","")</f>
        <v>R/d</v>
      </c>
      <c r="Q161" s="186"/>
      <c r="R161" s="190"/>
      <c r="S161" s="168">
        <f>VLOOKUP(CONCATENATE("4",Konfiguration_Configuration!$N$6),Daten!$B$5:$E$99,3,FALSE)</f>
        <v>1</v>
      </c>
      <c r="T161" s="137" t="s">
        <v>244</v>
      </c>
      <c r="U161" s="239" t="str">
        <f>IF(VLOOKUP(CONCATENATE("4",Konfiguration_Configuration!$N$6),Daten!$B$5:$F$99,5,FALSE)=1,"R/d","")</f>
        <v>R/d</v>
      </c>
      <c r="V161" s="186"/>
      <c r="W161" s="190"/>
      <c r="X161" s="239" t="str">
        <f>IF(VLOOKUP(CONCATENATE("4",Konfiguration_Configuration!$N$6),Daten!$B$5:$F$99,5,FALSE)=1,"R/d","")</f>
        <v>R/d</v>
      </c>
      <c r="Y161" s="186"/>
      <c r="Z161" s="190"/>
      <c r="AA161" s="239" t="str">
        <f>IF(VLOOKUP(CONCATENATE("4",Konfiguration_Configuration!$N$6),Daten!$B$5:$F$99,5,FALSE)=1,"R/d","")</f>
        <v>R/d</v>
      </c>
      <c r="AB161" s="186"/>
      <c r="AC161" s="190"/>
      <c r="AD161" s="239" t="str">
        <f>IF(VLOOKUP(CONCATENATE("4",Konfiguration_Configuration!$N$6),Daten!$B$5:$F$99,5,FALSE)=1,"R/d","")</f>
        <v>R/d</v>
      </c>
      <c r="AE161" s="186"/>
      <c r="AF161" s="190"/>
      <c r="AG161" s="239" t="str">
        <f>IF(VLOOKUP(CONCATENATE("4",Konfiguration_Configuration!$N$6),Daten!$B$5:$F$99,5,FALSE)=1,"R/d","")</f>
        <v>R/d</v>
      </c>
      <c r="AH161" s="186"/>
      <c r="AI161" s="190"/>
      <c r="AJ161" s="168">
        <f>VLOOKUP(CONCATENATE("4",Konfiguration_Configuration!$N$6),Daten!$B$5:$E$99,3,FALSE)</f>
        <v>1</v>
      </c>
      <c r="AK161" s="137" t="s">
        <v>244</v>
      </c>
      <c r="AL161" s="239" t="str">
        <f>IF(VLOOKUP(CONCATENATE("4",Konfiguration_Configuration!$N$6),Daten!$B$5:$F$99,5,FALSE)=1,"R/d","")</f>
        <v>R/d</v>
      </c>
      <c r="AM161" s="186"/>
      <c r="AN161" s="190"/>
      <c r="AO161" s="239" t="str">
        <f>IF(VLOOKUP(CONCATENATE("4",Konfiguration_Configuration!$N$6),Daten!$B$5:$F$99,5,FALSE)=1,"R/d","")</f>
        <v>R/d</v>
      </c>
      <c r="AP161" s="186"/>
      <c r="AQ161" s="190"/>
      <c r="AR161" s="239" t="str">
        <f>IF(VLOOKUP(CONCATENATE("4",Konfiguration_Configuration!$N$6),Daten!$B$5:$F$99,5,FALSE)=1,"R/d","")</f>
        <v>R/d</v>
      </c>
      <c r="AS161" s="186"/>
      <c r="AT161" s="190"/>
      <c r="AU161" s="239" t="str">
        <f>IF(VLOOKUP(CONCATENATE("4",Konfiguration_Configuration!$N$6),Daten!$B$5:$F$99,5,FALSE)=1,"R/d","")</f>
        <v>R/d</v>
      </c>
      <c r="AV161" s="186"/>
      <c r="AW161" s="190"/>
      <c r="AX161" s="239" t="str">
        <f>IF(VLOOKUP(CONCATENATE("4",Konfiguration_Configuration!$N$6),Daten!$B$5:$F$99,5,FALSE)=1,"R/d","")</f>
        <v>R/d</v>
      </c>
      <c r="AY161" s="186"/>
      <c r="AZ161" s="190"/>
      <c r="BA161" s="168">
        <f>VLOOKUP(CONCATENATE("4",Konfiguration_Configuration!$N$6),Daten!$B$5:$E$99,3,FALSE)</f>
        <v>1</v>
      </c>
      <c r="BB161" s="137" t="s">
        <v>244</v>
      </c>
      <c r="BC161" s="239" t="str">
        <f>IF(VLOOKUP(CONCATENATE("4",Konfiguration_Configuration!$N$6),Daten!$B$5:$F$99,5,FALSE)=1,"R/d","")</f>
        <v>R/d</v>
      </c>
      <c r="BD161" s="186"/>
      <c r="BE161" s="190"/>
      <c r="BF161" s="239" t="str">
        <f>IF(VLOOKUP(CONCATENATE("4",Konfiguration_Configuration!$N$6),Daten!$B$5:$F$99,5,FALSE)=1,"R/d","")</f>
        <v>R/d</v>
      </c>
      <c r="BG161" s="186"/>
      <c r="BH161" s="190"/>
      <c r="BI161" s="239" t="str">
        <f>IF(VLOOKUP(CONCATENATE("4",Konfiguration_Configuration!$N$6),Daten!$B$5:$F$99,5,FALSE)=1,"R/d","")</f>
        <v>R/d</v>
      </c>
      <c r="BJ161" s="186"/>
      <c r="BK161" s="190"/>
      <c r="BL161" s="239" t="str">
        <f>IF(VLOOKUP(CONCATENATE("4",Konfiguration_Configuration!$N$6),Daten!$B$5:$F$99,5,FALSE)=1,"R/d","")</f>
        <v>R/d</v>
      </c>
      <c r="BM161" s="186"/>
      <c r="BN161" s="190"/>
      <c r="BO161" s="239" t="str">
        <f>IF(VLOOKUP(CONCATENATE("4",Konfiguration_Configuration!$N$6),Daten!$B$5:$F$99,5,FALSE)=1,"R/d","")</f>
        <v>R/d</v>
      </c>
      <c r="BP161" s="186"/>
      <c r="BQ161" s="190"/>
    </row>
    <row r="162" spans="1:73" ht="32.1" customHeight="1">
      <c r="A162" s="371" t="str">
        <f>VLOOKUP(CONCATENATE("4",Konfiguration_Configuration!$N$6),Daten!$B$5:$E$99,2,FALSE)</f>
        <v>ve Dr-ra Dr</v>
      </c>
      <c r="B162" s="169"/>
      <c r="C162" s="137"/>
      <c r="D162" s="232" t="str">
        <f>IF(VLOOKUP(CONCATENATE("4",Konfiguration_Configuration!$N$6),Daten!$B$5:$F$99,5,FALSE)=1,"L/g","")</f>
        <v>L/g</v>
      </c>
      <c r="E162" s="185"/>
      <c r="F162" s="187" t="str">
        <f>IF(E161="","",MAX(E161,E162,E163)/10*$B$23+$B$23)</f>
        <v/>
      </c>
      <c r="G162" s="232" t="str">
        <f>IF(VLOOKUP(CONCATENATE("4",Konfiguration_Configuration!$N$6),Daten!$B$5:$F$99,5,FALSE)=1,"L/g","")</f>
        <v>L/g</v>
      </c>
      <c r="H162" s="185"/>
      <c r="I162" s="187" t="str">
        <f>IF(H161="","",MAX(H161,H162,H163)/10*$B$23+$B$23)</f>
        <v/>
      </c>
      <c r="J162" s="232" t="str">
        <f>IF(VLOOKUP(CONCATENATE("4",Konfiguration_Configuration!$N$6),Daten!$B$5:$F$99,5,FALSE)=1,"L/g","")</f>
        <v>L/g</v>
      </c>
      <c r="K162" s="185"/>
      <c r="L162" s="187" t="str">
        <f>IF(K161="","",MAX(K161,K162,K163)/10*$B$23+$B$23)</f>
        <v/>
      </c>
      <c r="M162" s="232" t="str">
        <f>IF(VLOOKUP(CONCATENATE("4",Konfiguration_Configuration!$N$6),Daten!$B$5:$F$99,5,FALSE)=1,"L/g","")</f>
        <v>L/g</v>
      </c>
      <c r="N162" s="185"/>
      <c r="O162" s="187" t="str">
        <f>IF(N161="","",MAX(N161,N162,N163)/10*$B$23+$B$23)</f>
        <v/>
      </c>
      <c r="P162" s="232" t="str">
        <f>IF(VLOOKUP(CONCATENATE("4",Konfiguration_Configuration!$N$6),Daten!$B$5:$F$99,5,FALSE)=1,"L/g","")</f>
        <v>L/g</v>
      </c>
      <c r="Q162" s="185"/>
      <c r="R162" s="187" t="str">
        <f>IF(Q161="","",MAX(Q161,Q162,Q163)/10*$B$23+$B$23)</f>
        <v/>
      </c>
      <c r="S162" s="169"/>
      <c r="T162" s="137"/>
      <c r="U162" s="232" t="str">
        <f>IF(VLOOKUP(CONCATENATE("4",Konfiguration_Configuration!$N$6),Daten!$B$5:$F$99,5,FALSE)=1,"L/g","")</f>
        <v>L/g</v>
      </c>
      <c r="V162" s="185"/>
      <c r="W162" s="187" t="str">
        <f>IF(V161="","",MAX(V161,V162,V163)/10*$B$23+$B$23)</f>
        <v/>
      </c>
      <c r="X162" s="232" t="str">
        <f>IF(VLOOKUP(CONCATENATE("4",Konfiguration_Configuration!$N$6),Daten!$B$5:$F$99,5,FALSE)=1,"L/g","")</f>
        <v>L/g</v>
      </c>
      <c r="Y162" s="185"/>
      <c r="Z162" s="187" t="str">
        <f>IF(Y161="","",MAX(Y161,Y162,Y163)/10*$B$23+$B$23)</f>
        <v/>
      </c>
      <c r="AA162" s="232" t="str">
        <f>IF(VLOOKUP(CONCATENATE("4",Konfiguration_Configuration!$N$6),Daten!$B$5:$F$99,5,FALSE)=1,"L/g","")</f>
        <v>L/g</v>
      </c>
      <c r="AB162" s="185"/>
      <c r="AC162" s="187" t="str">
        <f>IF(AB161="","",MAX(AB161,AB162,AB163)/10*$B$23+$B$23)</f>
        <v/>
      </c>
      <c r="AD162" s="232" t="str">
        <f>IF(VLOOKUP(CONCATENATE("4",Konfiguration_Configuration!$N$6),Daten!$B$5:$F$99,5,FALSE)=1,"L/g","")</f>
        <v>L/g</v>
      </c>
      <c r="AE162" s="185"/>
      <c r="AF162" s="187" t="str">
        <f>IF(AE161="","",MAX(AE161,AE162,AE163)/10*$B$23+$B$23)</f>
        <v/>
      </c>
      <c r="AG162" s="232" t="str">
        <f>IF(VLOOKUP(CONCATENATE("4",Konfiguration_Configuration!$N$6),Daten!$B$5:$F$99,5,FALSE)=1,"L/g","")</f>
        <v>L/g</v>
      </c>
      <c r="AH162" s="185"/>
      <c r="AI162" s="187" t="str">
        <f>IF(AH161="","",MAX(AH161,AH162,AH163)/10*$B$23+$B$23)</f>
        <v/>
      </c>
      <c r="AJ162" s="169"/>
      <c r="AK162" s="137"/>
      <c r="AL162" s="232" t="str">
        <f>IF(VLOOKUP(CONCATENATE("4",Konfiguration_Configuration!$N$6),Daten!$B$5:$F$99,5,FALSE)=1,"L/g","")</f>
        <v>L/g</v>
      </c>
      <c r="AM162" s="185"/>
      <c r="AN162" s="187" t="str">
        <f>IF(AM161="","",MAX(AM161,AM162,AM163)/10*$B$23+$B$23)</f>
        <v/>
      </c>
      <c r="AO162" s="232" t="str">
        <f>IF(VLOOKUP(CONCATENATE("4",Konfiguration_Configuration!$N$6),Daten!$B$5:$F$99,5,FALSE)=1,"L/g","")</f>
        <v>L/g</v>
      </c>
      <c r="AP162" s="185"/>
      <c r="AQ162" s="187" t="str">
        <f>IF(AP161="","",MAX(AP161,AP162,AP163)/10*$B$23+$B$23)</f>
        <v/>
      </c>
      <c r="AR162" s="232" t="str">
        <f>IF(VLOOKUP(CONCATENATE("4",Konfiguration_Configuration!$N$6),Daten!$B$5:$F$99,5,FALSE)=1,"L/g","")</f>
        <v>L/g</v>
      </c>
      <c r="AS162" s="185"/>
      <c r="AT162" s="187" t="str">
        <f>IF(AS161="","",MAX(AS161,AS162,AS163)/10*$B$23+$B$23)</f>
        <v/>
      </c>
      <c r="AU162" s="232" t="str">
        <f>IF(VLOOKUP(CONCATENATE("4",Konfiguration_Configuration!$N$6),Daten!$B$5:$F$99,5,FALSE)=1,"L/g","")</f>
        <v>L/g</v>
      </c>
      <c r="AV162" s="185"/>
      <c r="AW162" s="187" t="str">
        <f>IF(AV161="","",MAX(AV161,AV162,AV163)/10*$B$23+$B$23)</f>
        <v/>
      </c>
      <c r="AX162" s="232" t="str">
        <f>IF(VLOOKUP(CONCATENATE("4",Konfiguration_Configuration!$N$6),Daten!$B$5:$F$99,5,FALSE)=1,"L/g","")</f>
        <v>L/g</v>
      </c>
      <c r="AY162" s="185"/>
      <c r="AZ162" s="187" t="str">
        <f>IF(AY161="","",MAX(AY161,AY162,AY163)/10*$B$23+$B$23)</f>
        <v/>
      </c>
      <c r="BA162" s="169"/>
      <c r="BB162" s="137"/>
      <c r="BC162" s="232" t="str">
        <f>IF(VLOOKUP(CONCATENATE("4",Konfiguration_Configuration!$N$6),Daten!$B$5:$F$99,5,FALSE)=1,"L/g","")</f>
        <v>L/g</v>
      </c>
      <c r="BD162" s="185"/>
      <c r="BE162" s="187" t="str">
        <f>IF(BD161="","",MAX(BD161,BD162,BD163)/10*$B$23+$B$23)</f>
        <v/>
      </c>
      <c r="BF162" s="232" t="str">
        <f>IF(VLOOKUP(CONCATENATE("4",Konfiguration_Configuration!$N$6),Daten!$B$5:$F$99,5,FALSE)=1,"L/g","")</f>
        <v>L/g</v>
      </c>
      <c r="BG162" s="185"/>
      <c r="BH162" s="187" t="str">
        <f>IF(BG161="","",MAX(BG161,BG162,BG163)/10*$B$23+$B$23)</f>
        <v/>
      </c>
      <c r="BI162" s="232" t="str">
        <f>IF(VLOOKUP(CONCATENATE("4",Konfiguration_Configuration!$N$6),Daten!$B$5:$F$99,5,FALSE)=1,"L/g","")</f>
        <v>L/g</v>
      </c>
      <c r="BJ162" s="185"/>
      <c r="BK162" s="187" t="str">
        <f>IF(BJ161="","",MAX(BJ161,BJ162,BJ163)/10*$B$23+$B$23)</f>
        <v/>
      </c>
      <c r="BL162" s="232" t="str">
        <f>IF(VLOOKUP(CONCATENATE("4",Konfiguration_Configuration!$N$6),Daten!$B$5:$F$99,5,FALSE)=1,"L/g","")</f>
        <v>L/g</v>
      </c>
      <c r="BM162" s="185"/>
      <c r="BN162" s="187" t="str">
        <f>IF(BM161="","",MAX(BM161,BM162,BM163)/10*$B$23+$B$23)</f>
        <v/>
      </c>
      <c r="BO162" s="232" t="str">
        <f>IF(VLOOKUP(CONCATENATE("4",Konfiguration_Configuration!$N$6),Daten!$B$5:$F$99,5,FALSE)=1,"L/g","")</f>
        <v>L/g</v>
      </c>
      <c r="BP162" s="185"/>
      <c r="BQ162" s="187" t="str">
        <f>IF(BP161="","",MAX(BP161,BP162,BP163)/10*$B$23+$B$23)</f>
        <v/>
      </c>
    </row>
    <row r="163" spans="1:73" ht="32.1" customHeight="1">
      <c r="A163" s="372"/>
      <c r="B163" s="170"/>
      <c r="C163" s="137" t="s">
        <v>245</v>
      </c>
      <c r="D163" s="135"/>
      <c r="E163" s="186"/>
      <c r="F163" s="191"/>
      <c r="G163" s="135"/>
      <c r="H163" s="186"/>
      <c r="I163" s="191"/>
      <c r="J163" s="135"/>
      <c r="K163" s="186"/>
      <c r="L163" s="191"/>
      <c r="M163" s="135"/>
      <c r="N163" s="186"/>
      <c r="O163" s="191"/>
      <c r="P163" s="135"/>
      <c r="Q163" s="186"/>
      <c r="R163" s="191"/>
      <c r="S163" s="170"/>
      <c r="T163" s="137" t="s">
        <v>245</v>
      </c>
      <c r="U163" s="135"/>
      <c r="V163" s="186"/>
      <c r="W163" s="191"/>
      <c r="X163" s="135"/>
      <c r="Y163" s="186"/>
      <c r="Z163" s="191"/>
      <c r="AA163" s="135"/>
      <c r="AB163" s="186"/>
      <c r="AC163" s="191"/>
      <c r="AD163" s="135"/>
      <c r="AE163" s="186"/>
      <c r="AF163" s="191"/>
      <c r="AG163" s="135"/>
      <c r="AH163" s="186"/>
      <c r="AI163" s="191"/>
      <c r="AJ163" s="170"/>
      <c r="AK163" s="137" t="s">
        <v>245</v>
      </c>
      <c r="AL163" s="135"/>
      <c r="AM163" s="186"/>
      <c r="AN163" s="191"/>
      <c r="AO163" s="135"/>
      <c r="AP163" s="186"/>
      <c r="AQ163" s="191"/>
      <c r="AR163" s="135"/>
      <c r="AS163" s="186"/>
      <c r="AT163" s="191"/>
      <c r="AU163" s="135"/>
      <c r="AV163" s="186"/>
      <c r="AW163" s="191"/>
      <c r="AX163" s="135"/>
      <c r="AY163" s="186"/>
      <c r="AZ163" s="191"/>
      <c r="BA163" s="170"/>
      <c r="BB163" s="137" t="s">
        <v>245</v>
      </c>
      <c r="BC163" s="135"/>
      <c r="BD163" s="186"/>
      <c r="BE163" s="191"/>
      <c r="BF163" s="135"/>
      <c r="BG163" s="186"/>
      <c r="BH163" s="191"/>
      <c r="BI163" s="135"/>
      <c r="BJ163" s="186"/>
      <c r="BK163" s="191"/>
      <c r="BL163" s="135"/>
      <c r="BM163" s="186"/>
      <c r="BN163" s="191"/>
      <c r="BO163" s="135"/>
      <c r="BP163" s="186"/>
      <c r="BQ163" s="191"/>
    </row>
    <row r="164" spans="1:73" ht="32.1" customHeight="1">
      <c r="A164" s="136" t="str">
        <f>CONCATENATE(LEFT(A$13,LEN(A$13)-1)," 5:")</f>
        <v>Element 5:</v>
      </c>
      <c r="B164" s="168">
        <f>VLOOKUP(CONCATENATE("5",Konfiguration_Configuration!$N$6),Daten!$B$5:$E$99,3,FALSE)</f>
        <v>1</v>
      </c>
      <c r="C164" s="137" t="s">
        <v>244</v>
      </c>
      <c r="D164" s="239" t="str">
        <f>IF(VLOOKUP(CONCATENATE("5",Konfiguration_Configuration!$N$6),Daten!$B$5:$F$99,5,FALSE)=1,"R/d","")</f>
        <v/>
      </c>
      <c r="E164" s="186"/>
      <c r="F164" s="190"/>
      <c r="G164" s="239" t="str">
        <f>IF(VLOOKUP(CONCATENATE("5",Konfiguration_Configuration!$N$6),Daten!$B$5:$F$99,5,FALSE)=1,"R/d","")</f>
        <v/>
      </c>
      <c r="H164" s="186"/>
      <c r="I164" s="190"/>
      <c r="J164" s="239" t="str">
        <f>IF(VLOOKUP(CONCATENATE("5",Konfiguration_Configuration!$N$6),Daten!$B$5:$F$99,5,FALSE)=1,"R/d","")</f>
        <v/>
      </c>
      <c r="K164" s="186"/>
      <c r="L164" s="190"/>
      <c r="M164" s="239" t="str">
        <f>IF(VLOOKUP(CONCATENATE("5",Konfiguration_Configuration!$N$6),Daten!$B$5:$F$99,5,FALSE)=1,"R/d","")</f>
        <v/>
      </c>
      <c r="N164" s="186"/>
      <c r="O164" s="190"/>
      <c r="P164" s="239" t="str">
        <f>IF(VLOOKUP(CONCATENATE("5",Konfiguration_Configuration!$N$6),Daten!$B$5:$F$99,5,FALSE)=1,"R/d","")</f>
        <v/>
      </c>
      <c r="Q164" s="186"/>
      <c r="R164" s="190"/>
      <c r="S164" s="168">
        <f>VLOOKUP(CONCATENATE("5",Konfiguration_Configuration!$N$6),Daten!$B$5:$E$99,3,FALSE)</f>
        <v>1</v>
      </c>
      <c r="T164" s="137" t="s">
        <v>244</v>
      </c>
      <c r="U164" s="239" t="str">
        <f>IF(VLOOKUP(CONCATENATE("5",Konfiguration_Configuration!$N$6),Daten!$B$5:$F$99,5,FALSE)=1,"R/d","")</f>
        <v/>
      </c>
      <c r="V164" s="186"/>
      <c r="W164" s="190"/>
      <c r="X164" s="239" t="str">
        <f>IF(VLOOKUP(CONCATENATE("5",Konfiguration_Configuration!$N$6),Daten!$B$5:$F$99,5,FALSE)=1,"R/d","")</f>
        <v/>
      </c>
      <c r="Y164" s="186"/>
      <c r="Z164" s="190"/>
      <c r="AA164" s="239" t="str">
        <f>IF(VLOOKUP(CONCATENATE("5",Konfiguration_Configuration!$N$6),Daten!$B$5:$F$99,5,FALSE)=1,"R/d","")</f>
        <v/>
      </c>
      <c r="AB164" s="186"/>
      <c r="AC164" s="190"/>
      <c r="AD164" s="239" t="str">
        <f>IF(VLOOKUP(CONCATENATE("5",Konfiguration_Configuration!$N$6),Daten!$B$5:$F$99,5,FALSE)=1,"R/d","")</f>
        <v/>
      </c>
      <c r="AE164" s="186"/>
      <c r="AF164" s="190"/>
      <c r="AG164" s="239" t="str">
        <f>IF(VLOOKUP(CONCATENATE("5",Konfiguration_Configuration!$N$6),Daten!$B$5:$F$99,5,FALSE)=1,"R/d","")</f>
        <v/>
      </c>
      <c r="AH164" s="186"/>
      <c r="AI164" s="190"/>
      <c r="AJ164" s="168">
        <f>VLOOKUP(CONCATENATE("5",Konfiguration_Configuration!$N$6),Daten!$B$5:$E$99,3,FALSE)</f>
        <v>1</v>
      </c>
      <c r="AK164" s="137" t="s">
        <v>244</v>
      </c>
      <c r="AL164" s="239" t="str">
        <f>IF(VLOOKUP(CONCATENATE("5",Konfiguration_Configuration!$N$6),Daten!$B$5:$F$99,5,FALSE)=1,"R/d","")</f>
        <v/>
      </c>
      <c r="AM164" s="186"/>
      <c r="AN164" s="190"/>
      <c r="AO164" s="239" t="str">
        <f>IF(VLOOKUP(CONCATENATE("5",Konfiguration_Configuration!$N$6),Daten!$B$5:$F$99,5,FALSE)=1,"R/d","")</f>
        <v/>
      </c>
      <c r="AP164" s="186"/>
      <c r="AQ164" s="190"/>
      <c r="AR164" s="239" t="str">
        <f>IF(VLOOKUP(CONCATENATE("5",Konfiguration_Configuration!$N$6),Daten!$B$5:$F$99,5,FALSE)=1,"R/d","")</f>
        <v/>
      </c>
      <c r="AS164" s="186"/>
      <c r="AT164" s="190"/>
      <c r="AU164" s="239" t="str">
        <f>IF(VLOOKUP(CONCATENATE("5",Konfiguration_Configuration!$N$6),Daten!$B$5:$F$99,5,FALSE)=1,"R/d","")</f>
        <v/>
      </c>
      <c r="AV164" s="186"/>
      <c r="AW164" s="190"/>
      <c r="AX164" s="239" t="str">
        <f>IF(VLOOKUP(CONCATENATE("5",Konfiguration_Configuration!$N$6),Daten!$B$5:$F$99,5,FALSE)=1,"R/d","")</f>
        <v/>
      </c>
      <c r="AY164" s="186"/>
      <c r="AZ164" s="190"/>
      <c r="BA164" s="168">
        <f>VLOOKUP(CONCATENATE("5",Konfiguration_Configuration!$N$6),Daten!$B$5:$E$99,3,FALSE)</f>
        <v>1</v>
      </c>
      <c r="BB164" s="137" t="s">
        <v>244</v>
      </c>
      <c r="BC164" s="239" t="str">
        <f>IF(VLOOKUP(CONCATENATE("5",Konfiguration_Configuration!$N$6),Daten!$B$5:$F$99,5,FALSE)=1,"R/d","")</f>
        <v/>
      </c>
      <c r="BD164" s="186"/>
      <c r="BE164" s="190"/>
      <c r="BF164" s="239" t="str">
        <f>IF(VLOOKUP(CONCATENATE("5",Konfiguration_Configuration!$N$6),Daten!$B$5:$F$99,5,FALSE)=1,"R/d","")</f>
        <v/>
      </c>
      <c r="BG164" s="186"/>
      <c r="BH164" s="190"/>
      <c r="BI164" s="239" t="str">
        <f>IF(VLOOKUP(CONCATENATE("5",Konfiguration_Configuration!$N$6),Daten!$B$5:$F$99,5,FALSE)=1,"R/d","")</f>
        <v/>
      </c>
      <c r="BJ164" s="186"/>
      <c r="BK164" s="190"/>
      <c r="BL164" s="239" t="str">
        <f>IF(VLOOKUP(CONCATENATE("5",Konfiguration_Configuration!$N$6),Daten!$B$5:$F$99,5,FALSE)=1,"R/d","")</f>
        <v/>
      </c>
      <c r="BM164" s="186"/>
      <c r="BN164" s="190"/>
      <c r="BO164" s="239" t="str">
        <f>IF(VLOOKUP(CONCATENATE("5",Konfiguration_Configuration!$N$6),Daten!$B$5:$F$99,5,FALSE)=1,"R/d","")</f>
        <v/>
      </c>
      <c r="BP164" s="186"/>
      <c r="BQ164" s="190"/>
    </row>
    <row r="165" spans="1:73" ht="32.1" customHeight="1">
      <c r="A165" s="371" t="str">
        <f>VLOOKUP(CONCATENATE("5",Konfiguration_Configuration!$N$6),Daten!$B$5:$E$99,2,FALSE)</f>
        <v>A: Schl+oMo / B: 2 versch. Schl+Mo</v>
      </c>
      <c r="B165" s="169"/>
      <c r="C165" s="137"/>
      <c r="D165" s="232" t="str">
        <f>IF(VLOOKUP(CONCATENATE("5",Konfiguration_Configuration!$N$6),Daten!$B$5:$F$99,5,FALSE)=1,"L/g","")</f>
        <v/>
      </c>
      <c r="E165" s="185"/>
      <c r="F165" s="187" t="str">
        <f>IF(E164="","",MAX(E164,E165,E166)/10*$B$26+$B$26)</f>
        <v/>
      </c>
      <c r="G165" s="232" t="str">
        <f>IF(VLOOKUP(CONCATENATE("5",Konfiguration_Configuration!$N$6),Daten!$B$5:$F$99,5,FALSE)=1,"L/g","")</f>
        <v/>
      </c>
      <c r="H165" s="185"/>
      <c r="I165" s="187" t="str">
        <f>IF(H164="","",MAX(H164,H165,H166)/10*$B$26+$B$26)</f>
        <v/>
      </c>
      <c r="J165" s="232" t="str">
        <f>IF(VLOOKUP(CONCATENATE("5",Konfiguration_Configuration!$N$6),Daten!$B$5:$F$99,5,FALSE)=1,"L/g","")</f>
        <v/>
      </c>
      <c r="K165" s="185"/>
      <c r="L165" s="187" t="str">
        <f>IF(K164="","",MAX(K164,K165,K166)/10*$B$26+$B$26)</f>
        <v/>
      </c>
      <c r="M165" s="232" t="str">
        <f>IF(VLOOKUP(CONCATENATE("5",Konfiguration_Configuration!$N$6),Daten!$B$5:$F$99,5,FALSE)=1,"L/g","")</f>
        <v/>
      </c>
      <c r="N165" s="185"/>
      <c r="O165" s="187" t="str">
        <f>IF(N164="","",MAX(N164,N165,N166)/10*$B$26+$B$26)</f>
        <v/>
      </c>
      <c r="P165" s="232" t="str">
        <f>IF(VLOOKUP(CONCATENATE("5",Konfiguration_Configuration!$N$6),Daten!$B$5:$F$99,5,FALSE)=1,"L/g","")</f>
        <v/>
      </c>
      <c r="Q165" s="185"/>
      <c r="R165" s="187" t="str">
        <f>IF(Q164="","",MAX(Q164,Q165,Q166)/10*$B$26+$B$26)</f>
        <v/>
      </c>
      <c r="S165" s="169"/>
      <c r="T165" s="137"/>
      <c r="U165" s="232" t="str">
        <f>IF(VLOOKUP(CONCATENATE("5",Konfiguration_Configuration!$N$6),Daten!$B$5:$F$99,5,FALSE)=1,"L/g","")</f>
        <v/>
      </c>
      <c r="V165" s="185"/>
      <c r="W165" s="187" t="str">
        <f>IF(V164="","",MAX(V164,V165,V166)/10*$B$26+$B$26)</f>
        <v/>
      </c>
      <c r="X165" s="232" t="str">
        <f>IF(VLOOKUP(CONCATENATE("5",Konfiguration_Configuration!$N$6),Daten!$B$5:$F$99,5,FALSE)=1,"L/g","")</f>
        <v/>
      </c>
      <c r="Y165" s="185"/>
      <c r="Z165" s="187" t="str">
        <f>IF(Y164="","",MAX(Y164,Y165,Y166)/10*$B$26+$B$26)</f>
        <v/>
      </c>
      <c r="AA165" s="232" t="str">
        <f>IF(VLOOKUP(CONCATENATE("5",Konfiguration_Configuration!$N$6),Daten!$B$5:$F$99,5,FALSE)=1,"L/g","")</f>
        <v/>
      </c>
      <c r="AB165" s="185"/>
      <c r="AC165" s="187" t="str">
        <f>IF(AB164="","",MAX(AB164,AB165,AB166)/10*$B$26+$B$26)</f>
        <v/>
      </c>
      <c r="AD165" s="232" t="str">
        <f>IF(VLOOKUP(CONCATENATE("5",Konfiguration_Configuration!$N$6),Daten!$B$5:$F$99,5,FALSE)=1,"L/g","")</f>
        <v/>
      </c>
      <c r="AE165" s="185"/>
      <c r="AF165" s="187" t="str">
        <f>IF(AE164="","",MAX(AE164,AE165,AE166)/10*$B$26+$B$26)</f>
        <v/>
      </c>
      <c r="AG165" s="232" t="str">
        <f>IF(VLOOKUP(CONCATENATE("5",Konfiguration_Configuration!$N$6),Daten!$B$5:$F$99,5,FALSE)=1,"L/g","")</f>
        <v/>
      </c>
      <c r="AH165" s="185"/>
      <c r="AI165" s="187" t="str">
        <f>IF(AH164="","",MAX(AH164,AH165,AH166)/10*$B$26+$B$26)</f>
        <v/>
      </c>
      <c r="AJ165" s="169"/>
      <c r="AK165" s="137"/>
      <c r="AL165" s="232" t="str">
        <f>IF(VLOOKUP(CONCATENATE("5",Konfiguration_Configuration!$N$6),Daten!$B$5:$F$99,5,FALSE)=1,"L/g","")</f>
        <v/>
      </c>
      <c r="AM165" s="185"/>
      <c r="AN165" s="187" t="str">
        <f>IF(AM164="","",MAX(AM164,AM165,AM166)/10*$B$26+$B$26)</f>
        <v/>
      </c>
      <c r="AO165" s="232" t="str">
        <f>IF(VLOOKUP(CONCATENATE("5",Konfiguration_Configuration!$N$6),Daten!$B$5:$F$99,5,FALSE)=1,"L/g","")</f>
        <v/>
      </c>
      <c r="AP165" s="185"/>
      <c r="AQ165" s="187" t="str">
        <f>IF(AP164="","",MAX(AP164,AP165,AP166)/10*$B$26+$B$26)</f>
        <v/>
      </c>
      <c r="AR165" s="232" t="str">
        <f>IF(VLOOKUP(CONCATENATE("5",Konfiguration_Configuration!$N$6),Daten!$B$5:$F$99,5,FALSE)=1,"L/g","")</f>
        <v/>
      </c>
      <c r="AS165" s="185"/>
      <c r="AT165" s="187" t="str">
        <f>IF(AS164="","",MAX(AS164,AS165,AS166)/10*$B$26+$B$26)</f>
        <v/>
      </c>
      <c r="AU165" s="232" t="str">
        <f>IF(VLOOKUP(CONCATENATE("5",Konfiguration_Configuration!$N$6),Daten!$B$5:$F$99,5,FALSE)=1,"L/g","")</f>
        <v/>
      </c>
      <c r="AV165" s="185"/>
      <c r="AW165" s="187" t="str">
        <f>IF(AV164="","",MAX(AV164,AV165,AV166)/10*$B$26+$B$26)</f>
        <v/>
      </c>
      <c r="AX165" s="232" t="str">
        <f>IF(VLOOKUP(CONCATENATE("5",Konfiguration_Configuration!$N$6),Daten!$B$5:$F$99,5,FALSE)=1,"L/g","")</f>
        <v/>
      </c>
      <c r="AY165" s="185"/>
      <c r="AZ165" s="187" t="str">
        <f>IF(AY164="","",MAX(AY164,AY165,AY166)/10*$B$26+$B$26)</f>
        <v/>
      </c>
      <c r="BA165" s="169"/>
      <c r="BB165" s="137"/>
      <c r="BC165" s="232" t="str">
        <f>IF(VLOOKUP(CONCATENATE("5",Konfiguration_Configuration!$N$6),Daten!$B$5:$F$99,5,FALSE)=1,"L/g","")</f>
        <v/>
      </c>
      <c r="BD165" s="185"/>
      <c r="BE165" s="187" t="str">
        <f>IF(BD164="","",MAX(BD164,BD165,BD166)/10*$B$26+$B$26)</f>
        <v/>
      </c>
      <c r="BF165" s="232" t="str">
        <f>IF(VLOOKUP(CONCATENATE("5",Konfiguration_Configuration!$N$6),Daten!$B$5:$F$99,5,FALSE)=1,"L/g","")</f>
        <v/>
      </c>
      <c r="BG165" s="185"/>
      <c r="BH165" s="187" t="str">
        <f>IF(BG164="","",MAX(BG164,BG165,BG166)/10*$B$26+$B$26)</f>
        <v/>
      </c>
      <c r="BI165" s="232" t="str">
        <f>IF(VLOOKUP(CONCATENATE("5",Konfiguration_Configuration!$N$6),Daten!$B$5:$F$99,5,FALSE)=1,"L/g","")</f>
        <v/>
      </c>
      <c r="BJ165" s="185"/>
      <c r="BK165" s="187" t="str">
        <f>IF(BJ164="","",MAX(BJ164,BJ165,BJ166)/10*$B$26+$B$26)</f>
        <v/>
      </c>
      <c r="BL165" s="232" t="str">
        <f>IF(VLOOKUP(CONCATENATE("5",Konfiguration_Configuration!$N$6),Daten!$B$5:$F$99,5,FALSE)=1,"L/g","")</f>
        <v/>
      </c>
      <c r="BM165" s="185"/>
      <c r="BN165" s="187" t="str">
        <f>IF(BM164="","",MAX(BM164,BM165,BM166)/10*$B$26+$B$26)</f>
        <v/>
      </c>
      <c r="BO165" s="232" t="str">
        <f>IF(VLOOKUP(CONCATENATE("5",Konfiguration_Configuration!$N$6),Daten!$B$5:$F$99,5,FALSE)=1,"L/g","")</f>
        <v/>
      </c>
      <c r="BP165" s="185"/>
      <c r="BQ165" s="187" t="str">
        <f>IF(BP164="","",MAX(BP164,BP165,BP166)/10*$B$26+$B$26)</f>
        <v/>
      </c>
    </row>
    <row r="166" spans="1:73" ht="32.1" customHeight="1">
      <c r="A166" s="372"/>
      <c r="B166" s="170"/>
      <c r="C166" s="137" t="s">
        <v>245</v>
      </c>
      <c r="D166" s="135"/>
      <c r="E166" s="186"/>
      <c r="F166" s="191"/>
      <c r="G166" s="135"/>
      <c r="H166" s="186"/>
      <c r="I166" s="191"/>
      <c r="J166" s="135"/>
      <c r="K166" s="186"/>
      <c r="L166" s="191"/>
      <c r="M166" s="135"/>
      <c r="N166" s="186"/>
      <c r="O166" s="191"/>
      <c r="P166" s="135"/>
      <c r="Q166" s="186"/>
      <c r="R166" s="191"/>
      <c r="S166" s="170"/>
      <c r="T166" s="137" t="s">
        <v>245</v>
      </c>
      <c r="U166" s="135"/>
      <c r="V166" s="186"/>
      <c r="W166" s="191"/>
      <c r="X166" s="135"/>
      <c r="Y166" s="186"/>
      <c r="Z166" s="191"/>
      <c r="AA166" s="135"/>
      <c r="AB166" s="186"/>
      <c r="AC166" s="191"/>
      <c r="AD166" s="135"/>
      <c r="AE166" s="186"/>
      <c r="AF166" s="191"/>
      <c r="AG166" s="135"/>
      <c r="AH166" s="186"/>
      <c r="AI166" s="191"/>
      <c r="AJ166" s="170"/>
      <c r="AK166" s="137" t="s">
        <v>245</v>
      </c>
      <c r="AL166" s="135"/>
      <c r="AM166" s="186"/>
      <c r="AN166" s="191"/>
      <c r="AO166" s="135"/>
      <c r="AP166" s="186"/>
      <c r="AQ166" s="191"/>
      <c r="AR166" s="135"/>
      <c r="AS166" s="186"/>
      <c r="AT166" s="191"/>
      <c r="AU166" s="135"/>
      <c r="AV166" s="186"/>
      <c r="AW166" s="191"/>
      <c r="AX166" s="135"/>
      <c r="AY166" s="186"/>
      <c r="AZ166" s="191"/>
      <c r="BA166" s="170"/>
      <c r="BB166" s="137" t="s">
        <v>245</v>
      </c>
      <c r="BC166" s="135"/>
      <c r="BD166" s="186"/>
      <c r="BE166" s="191"/>
      <c r="BF166" s="135"/>
      <c r="BG166" s="186"/>
      <c r="BH166" s="191"/>
      <c r="BI166" s="135"/>
      <c r="BJ166" s="186"/>
      <c r="BK166" s="191"/>
      <c r="BL166" s="135"/>
      <c r="BM166" s="186"/>
      <c r="BN166" s="191"/>
      <c r="BO166" s="135"/>
      <c r="BP166" s="186"/>
      <c r="BQ166" s="191"/>
    </row>
    <row r="167" spans="1:73" ht="18" customHeight="1">
      <c r="A167" s="222"/>
      <c r="B167" s="220"/>
      <c r="C167" s="221"/>
      <c r="D167" s="373" t="str">
        <f>VLOOKUP(CONCATENATE("12",Konfiguration_Configuration!$N$6),Daten!$B$5:$E$99,2,FALSE)</f>
        <v xml:space="preserve">Zum Bestehen des 1. Teils braucht der Läufer die Punktzahl der BASE bei der Mehrheit der Preisrichter und bei der Mehrheit der Elemente. </v>
      </c>
      <c r="E167" s="330"/>
      <c r="F167" s="330"/>
      <c r="G167" s="330"/>
      <c r="H167" s="330"/>
      <c r="I167" s="330"/>
      <c r="J167" s="330"/>
      <c r="K167" s="330"/>
      <c r="L167" s="330"/>
      <c r="M167" s="330"/>
      <c r="N167" s="330"/>
      <c r="O167" s="330"/>
      <c r="P167" s="330"/>
      <c r="Q167" s="330"/>
      <c r="R167" s="331"/>
      <c r="S167" s="220"/>
      <c r="T167" s="248"/>
      <c r="U167" s="373" t="str">
        <f>VLOOKUP(CONCATENATE("12",Konfiguration_Configuration!$N$6),Daten!$B$5:$E$99,2,FALSE)</f>
        <v xml:space="preserve">Zum Bestehen des 1. Teils braucht der Läufer die Punktzahl der BASE bei der Mehrheit der Preisrichter und bei der Mehrheit der Elemente. </v>
      </c>
      <c r="V167" s="330"/>
      <c r="W167" s="330"/>
      <c r="X167" s="330"/>
      <c r="Y167" s="330"/>
      <c r="Z167" s="330"/>
      <c r="AA167" s="330"/>
      <c r="AB167" s="330"/>
      <c r="AC167" s="330"/>
      <c r="AD167" s="330"/>
      <c r="AE167" s="330"/>
      <c r="AF167" s="330"/>
      <c r="AG167" s="330"/>
      <c r="AH167" s="330"/>
      <c r="AI167" s="331"/>
      <c r="AJ167" s="220"/>
      <c r="AK167" s="248"/>
      <c r="AL167" s="373" t="str">
        <f>VLOOKUP(CONCATENATE("12",Konfiguration_Configuration!$N$6),Daten!$B$5:$E$99,2,FALSE)</f>
        <v xml:space="preserve">Zum Bestehen des 1. Teils braucht der Läufer die Punktzahl der BASE bei der Mehrheit der Preisrichter und bei der Mehrheit der Elemente. </v>
      </c>
      <c r="AM167" s="330"/>
      <c r="AN167" s="330"/>
      <c r="AO167" s="330"/>
      <c r="AP167" s="330"/>
      <c r="AQ167" s="330"/>
      <c r="AR167" s="330"/>
      <c r="AS167" s="330"/>
      <c r="AT167" s="330"/>
      <c r="AU167" s="330"/>
      <c r="AV167" s="330"/>
      <c r="AW167" s="330"/>
      <c r="AX167" s="330"/>
      <c r="AY167" s="330"/>
      <c r="AZ167" s="331"/>
      <c r="BA167" s="220"/>
      <c r="BB167" s="248"/>
      <c r="BC167" s="373" t="str">
        <f>VLOOKUP(CONCATENATE("12",Konfiguration_Configuration!$N$6),Daten!$B$5:$E$99,2,FALSE)</f>
        <v xml:space="preserve">Zum Bestehen des 1. Teils braucht der Läufer die Punktzahl der BASE bei der Mehrheit der Preisrichter und bei der Mehrheit der Elemente. </v>
      </c>
      <c r="BD167" s="330"/>
      <c r="BE167" s="330"/>
      <c r="BF167" s="330"/>
      <c r="BG167" s="330"/>
      <c r="BH167" s="330"/>
      <c r="BI167" s="330"/>
      <c r="BJ167" s="330"/>
      <c r="BK167" s="330"/>
      <c r="BL167" s="330"/>
      <c r="BM167" s="330"/>
      <c r="BN167" s="330"/>
      <c r="BO167" s="330"/>
      <c r="BP167" s="330"/>
      <c r="BQ167" s="331"/>
    </row>
    <row r="168" spans="1:73" ht="32.1" customHeight="1">
      <c r="A168" s="224" t="str">
        <f>VLOOKUP(CONCATENATE("11",Konfiguration_Configuration!N$6),Daten!B$5:C237,2,FALSE)</f>
        <v>Total pro Preisrichter</v>
      </c>
      <c r="B168" s="240">
        <f>VLOOKUP(CONCATENATE("10",Konfiguration_Configuration!$N$6),Daten!$B$5:$E$99,3,FALSE)</f>
        <v>5</v>
      </c>
      <c r="C168" s="176"/>
      <c r="D168" s="254" t="str">
        <f>VLOOKUP(CONCATENATE("13",Konfiguration_Configuration!$N$6),Daten!$B$5:$E$99,2,FALSE)</f>
        <v>1. Teil bestanden:  ja  nein</v>
      </c>
      <c r="E168" s="177"/>
      <c r="F168" s="146"/>
      <c r="G168" s="254" t="str">
        <f>VLOOKUP(CONCATENATE("13",Konfiguration_Configuration!$N$6),Daten!$B$5:$E$99,2,FALSE)</f>
        <v>1. Teil bestanden:  ja  nein</v>
      </c>
      <c r="H168" s="177"/>
      <c r="I168" s="146"/>
      <c r="J168" s="254" t="str">
        <f>VLOOKUP(CONCATENATE("13",Konfiguration_Configuration!$N$6),Daten!$B$5:$E$99,2,FALSE)</f>
        <v>1. Teil bestanden:  ja  nein</v>
      </c>
      <c r="K168" s="177"/>
      <c r="L168" s="146"/>
      <c r="M168" s="254" t="str">
        <f>VLOOKUP(CONCATENATE("13",Konfiguration_Configuration!$N$6),Daten!$B$5:$E$99,2,FALSE)</f>
        <v>1. Teil bestanden:  ja  nein</v>
      </c>
      <c r="N168" s="177"/>
      <c r="O168" s="146"/>
      <c r="P168" s="254" t="str">
        <f>VLOOKUP(CONCATENATE("13",Konfiguration_Configuration!$N$6),Daten!$B$5:$E$99,2,FALSE)</f>
        <v>1. Teil bestanden:  ja  nein</v>
      </c>
      <c r="Q168" s="177"/>
      <c r="R168" s="146"/>
      <c r="S168" s="240">
        <f>VLOOKUP(CONCATENATE("10",Konfiguration_Configuration!$N$6),Daten!$B$5:$E$99,3,FALSE)</f>
        <v>5</v>
      </c>
      <c r="T168" s="176"/>
      <c r="U168" s="254" t="str">
        <f>VLOOKUP(CONCATENATE("13",Konfiguration_Configuration!$N$6),Daten!$B$5:$E$99,2,FALSE)</f>
        <v>1. Teil bestanden:  ja  nein</v>
      </c>
      <c r="V168" s="177"/>
      <c r="W168" s="146"/>
      <c r="X168" s="254" t="str">
        <f>VLOOKUP(CONCATENATE("13",Konfiguration_Configuration!$N$6),Daten!$B$5:$E$99,2,FALSE)</f>
        <v>1. Teil bestanden:  ja  nein</v>
      </c>
      <c r="Y168" s="177"/>
      <c r="Z168" s="146"/>
      <c r="AA168" s="254" t="str">
        <f>VLOOKUP(CONCATENATE("13",Konfiguration_Configuration!$N$6),Daten!$B$5:$E$99,2,FALSE)</f>
        <v>1. Teil bestanden:  ja  nein</v>
      </c>
      <c r="AB168" s="177"/>
      <c r="AC168" s="146"/>
      <c r="AD168" s="254" t="str">
        <f>VLOOKUP(CONCATENATE("13",Konfiguration_Configuration!$N$6),Daten!$B$5:$E$99,2,FALSE)</f>
        <v>1. Teil bestanden:  ja  nein</v>
      </c>
      <c r="AE168" s="177"/>
      <c r="AF168" s="146"/>
      <c r="AG168" s="254" t="str">
        <f>VLOOKUP(CONCATENATE("13",Konfiguration_Configuration!$N$6),Daten!$B$5:$E$99,2,FALSE)</f>
        <v>1. Teil bestanden:  ja  nein</v>
      </c>
      <c r="AH168" s="177"/>
      <c r="AI168" s="146"/>
      <c r="AJ168" s="240">
        <f>VLOOKUP(CONCATENATE("10",Konfiguration_Configuration!$N$6),Daten!$B$5:$E$99,3,FALSE)</f>
        <v>5</v>
      </c>
      <c r="AK168" s="176"/>
      <c r="AL168" s="254" t="str">
        <f>VLOOKUP(CONCATENATE("13",Konfiguration_Configuration!$N$6),Daten!$B$5:$E$99,2,FALSE)</f>
        <v>1. Teil bestanden:  ja  nein</v>
      </c>
      <c r="AM168" s="177"/>
      <c r="AN168" s="146"/>
      <c r="AO168" s="254" t="str">
        <f>VLOOKUP(CONCATENATE("13",Konfiguration_Configuration!$N$6),Daten!$B$5:$E$99,2,FALSE)</f>
        <v>1. Teil bestanden:  ja  nein</v>
      </c>
      <c r="AP168" s="177"/>
      <c r="AQ168" s="146"/>
      <c r="AR168" s="254" t="str">
        <f>VLOOKUP(CONCATENATE("13",Konfiguration_Configuration!$N$6),Daten!$B$5:$E$99,2,FALSE)</f>
        <v>1. Teil bestanden:  ja  nein</v>
      </c>
      <c r="AS168" s="177"/>
      <c r="AT168" s="146"/>
      <c r="AU168" s="254" t="str">
        <f>VLOOKUP(CONCATENATE("13",Konfiguration_Configuration!$N$6),Daten!$B$5:$E$99,2,FALSE)</f>
        <v>1. Teil bestanden:  ja  nein</v>
      </c>
      <c r="AV168" s="177"/>
      <c r="AW168" s="146"/>
      <c r="AX168" s="254" t="str">
        <f>VLOOKUP(CONCATENATE("13",Konfiguration_Configuration!$N$6),Daten!$B$5:$E$99,2,FALSE)</f>
        <v>1. Teil bestanden:  ja  nein</v>
      </c>
      <c r="AY168" s="177"/>
      <c r="AZ168" s="146"/>
      <c r="BA168" s="240">
        <f>VLOOKUP(CONCATENATE("10",Konfiguration_Configuration!$N$6),Daten!$B$5:$E$99,3,FALSE)</f>
        <v>5</v>
      </c>
      <c r="BB168" s="176"/>
      <c r="BC168" s="254" t="str">
        <f>VLOOKUP(CONCATENATE("13",Konfiguration_Configuration!$N$6),Daten!$B$5:$E$99,2,FALSE)</f>
        <v>1. Teil bestanden:  ja  nein</v>
      </c>
      <c r="BD168" s="177"/>
      <c r="BE168" s="146"/>
      <c r="BF168" s="254" t="str">
        <f>VLOOKUP(CONCATENATE("13",Konfiguration_Configuration!$N$6),Daten!$B$5:$E$99,2,FALSE)</f>
        <v>1. Teil bestanden:  ja  nein</v>
      </c>
      <c r="BG168" s="177"/>
      <c r="BH168" s="146"/>
      <c r="BI168" s="254" t="str">
        <f>VLOOKUP(CONCATENATE("13",Konfiguration_Configuration!$N$6),Daten!$B$5:$E$99,2,FALSE)</f>
        <v>1. Teil bestanden:  ja  nein</v>
      </c>
      <c r="BJ168" s="177"/>
      <c r="BK168" s="146"/>
      <c r="BL168" s="254" t="str">
        <f>VLOOKUP(CONCATENATE("13",Konfiguration_Configuration!$N$6),Daten!$B$5:$E$99,2,FALSE)</f>
        <v>1. Teil bestanden:  ja  nein</v>
      </c>
      <c r="BM168" s="177"/>
      <c r="BN168" s="146"/>
      <c r="BO168" s="254" t="str">
        <f>VLOOKUP(CONCATENATE("13",Konfiguration_Configuration!$N$6),Daten!$B$5:$E$99,2,FALSE)</f>
        <v>1. Teil bestanden:  ja  nein</v>
      </c>
      <c r="BP168" s="177"/>
      <c r="BQ168" s="146"/>
      <c r="BT168" s="58"/>
    </row>
    <row r="169" spans="1:73" ht="27.75" customHeight="1">
      <c r="A169" s="374" t="str">
        <f>Lizenzvermerk</f>
        <v>Version 1.3;
06.01.2024</v>
      </c>
      <c r="B169" s="370"/>
      <c r="C169" s="370"/>
      <c r="E169" s="375" t="str">
        <f>VLOOKUP(CONCATENATE("56",Konfiguration_Configuration!N$6),Daten!B$5:E$99,2,FALSE)</f>
        <v>Unterschrift des Preisrichters __________________________________</v>
      </c>
      <c r="F169" s="376"/>
      <c r="G169" s="376"/>
      <c r="H169" s="376"/>
      <c r="I169" s="376"/>
      <c r="J169" s="376"/>
      <c r="K169" s="376"/>
      <c r="L169" s="376"/>
      <c r="M169" s="376"/>
      <c r="N169" s="376"/>
      <c r="O169" s="376"/>
      <c r="S169" s="374" t="str">
        <f>Lizenzvermerk</f>
        <v>Version 1.3;
06.01.2024</v>
      </c>
      <c r="T169" s="370"/>
      <c r="U169" s="370"/>
      <c r="W169" s="375" t="str">
        <f>VLOOKUP(CONCATENATE("56",Konfiguration_Configuration!N$6),Daten!B$5:E$99,2,FALSE)</f>
        <v>Unterschrift des Preisrichters __________________________________</v>
      </c>
      <c r="X169" s="376"/>
      <c r="Y169" s="376"/>
      <c r="Z169" s="376"/>
      <c r="AA169" s="376"/>
      <c r="AB169" s="376"/>
      <c r="AC169" s="376"/>
      <c r="AD169" s="376"/>
      <c r="AE169" s="376"/>
      <c r="AF169" s="376"/>
      <c r="AG169" s="376"/>
      <c r="AJ169" s="374" t="str">
        <f>Lizenzvermerk</f>
        <v>Version 1.3;
06.01.2024</v>
      </c>
      <c r="AK169" s="370"/>
      <c r="AL169" s="370"/>
      <c r="AN169" s="375" t="str">
        <f>VLOOKUP(CONCATENATE("56",Konfiguration_Configuration!N$6),Daten!B$5:E$99,2,FALSE)</f>
        <v>Unterschrift des Preisrichters __________________________________</v>
      </c>
      <c r="AO169" s="376"/>
      <c r="AP169" s="376"/>
      <c r="AQ169" s="376"/>
      <c r="AR169" s="376"/>
      <c r="AS169" s="376"/>
      <c r="AT169" s="376"/>
      <c r="AU169" s="376"/>
      <c r="AV169" s="376"/>
      <c r="AW169" s="376"/>
      <c r="AX169" s="376"/>
      <c r="BA169" s="374" t="str">
        <f>Lizenzvermerk</f>
        <v>Version 1.3;
06.01.2024</v>
      </c>
      <c r="BB169" s="370"/>
      <c r="BC169" s="370"/>
      <c r="BE169" s="375" t="str">
        <f>VLOOKUP(CONCATENATE("56",Konfiguration_Configuration!N$6),Daten!B$5:E$99,2,FALSE)</f>
        <v>Unterschrift des Preisrichters __________________________________</v>
      </c>
      <c r="BF169" s="376"/>
      <c r="BG169" s="376"/>
      <c r="BH169" s="376"/>
      <c r="BI169" s="376"/>
      <c r="BJ169" s="376"/>
      <c r="BK169" s="376"/>
      <c r="BL169" s="376"/>
      <c r="BM169" s="376"/>
      <c r="BN169" s="376"/>
      <c r="BO169" s="376"/>
    </row>
    <row r="170" spans="1:73" s="17" customFormat="1" ht="24.9" customHeight="1">
      <c r="A170" s="193"/>
      <c r="B170" s="121"/>
      <c r="C170" s="121"/>
      <c r="D170" s="121"/>
      <c r="E170" s="122"/>
      <c r="F170" s="122"/>
      <c r="K170" s="123"/>
      <c r="L170" s="123"/>
      <c r="S170" s="121"/>
      <c r="T170" s="121"/>
      <c r="AJ170" s="121"/>
      <c r="AK170" s="121"/>
      <c r="BA170" s="121"/>
      <c r="BB170" s="121"/>
      <c r="BS170" s="26"/>
      <c r="BT170" s="26"/>
    </row>
    <row r="171" spans="1:73" s="18" customFormat="1" ht="15.75" customHeight="1">
      <c r="A171" s="114"/>
      <c r="B171" s="114"/>
      <c r="C171" s="114"/>
      <c r="D171" s="125" t="s">
        <v>197</v>
      </c>
      <c r="E171" s="125"/>
      <c r="F171" s="125"/>
      <c r="S171" s="114"/>
      <c r="T171" s="114"/>
      <c r="AJ171" s="114"/>
      <c r="AK171" s="114"/>
      <c r="BA171" s="114"/>
      <c r="BB171" s="114"/>
      <c r="BS171" s="55"/>
      <c r="BT171" s="55"/>
    </row>
    <row r="172" spans="1:73" ht="15.6">
      <c r="A172" s="126" t="str">
        <f>Konfiguration_Configuration!E$3</f>
        <v>Testname</v>
      </c>
      <c r="B172" s="127" t="str">
        <f>IF(Konfiguration_Configuration!$B$3="","",Konfiguration_Configuration!$B$3)</f>
        <v>SIS Inter-Bronze Stiltest</v>
      </c>
      <c r="C172" s="127"/>
      <c r="D172" s="127"/>
      <c r="E172" s="126"/>
      <c r="F172" s="126"/>
      <c r="G172" s="128" t="str">
        <f>Konfiguration_Configuration!J$12</f>
        <v>SchiedsrichterIn</v>
      </c>
      <c r="H172" s="178" t="str">
        <f>IF(Konfiguration_Configuration!$B$12="","",Konfiguration_Configuration!$B$12)&amp;IF(Konfiguration_Configuration!$E$12="","",", "&amp;Konfiguration_Configuration!$E$12)&amp;IF(Konfiguration_Configuration!$H$12="","",CONCATENATE(" (",Konfiguration_Configuration!$H$11," ",Konfiguration_Configuration!$H$12&amp;")"))</f>
        <v/>
      </c>
      <c r="I172" s="178"/>
      <c r="J172" s="178"/>
      <c r="S172" s="127" t="str">
        <f>IF(Konfiguration_Configuration!$B$3="","",Konfiguration_Configuration!$B$3)</f>
        <v>SIS Inter-Bronze Stiltest</v>
      </c>
      <c r="T172" s="127"/>
      <c r="U172" s="147"/>
      <c r="V172" s="147"/>
      <c r="X172" s="128" t="str">
        <f>Konfiguration_Configuration!$J$12</f>
        <v>SchiedsrichterIn</v>
      </c>
      <c r="Y172" s="178" t="str">
        <f>H172</f>
        <v/>
      </c>
      <c r="Z172" s="178"/>
      <c r="AA172" s="178"/>
      <c r="AJ172" s="127" t="str">
        <f>IF(Konfiguration_Configuration!$B$3="","",Konfiguration_Configuration!$B$3)</f>
        <v>SIS Inter-Bronze Stiltest</v>
      </c>
      <c r="AK172" s="127"/>
      <c r="AL172" s="147"/>
      <c r="AM172" s="147"/>
      <c r="AO172" s="128" t="str">
        <f>Konfiguration_Configuration!$J$12</f>
        <v>SchiedsrichterIn</v>
      </c>
      <c r="AP172" s="178" t="str">
        <f>H172</f>
        <v/>
      </c>
      <c r="AQ172" s="178"/>
      <c r="AR172" s="178"/>
      <c r="BA172" s="127" t="str">
        <f>IF(Konfiguration_Configuration!$B$3="","",Konfiguration_Configuration!$B$3)</f>
        <v>SIS Inter-Bronze Stiltest</v>
      </c>
      <c r="BB172" s="127"/>
      <c r="BC172" s="147"/>
      <c r="BD172" s="147"/>
      <c r="BF172" s="128" t="str">
        <f>Konfiguration_Configuration!$J$12</f>
        <v>SchiedsrichterIn</v>
      </c>
      <c r="BG172" s="178" t="str">
        <f>H172</f>
        <v/>
      </c>
      <c r="BH172" s="178"/>
      <c r="BI172"/>
    </row>
    <row r="173" spans="1:73" ht="15" customHeight="1">
      <c r="A173" s="126" t="str">
        <f>Konfiguration_Configuration!E$4</f>
        <v>Austragungsort</v>
      </c>
      <c r="B173" s="127" t="str">
        <f>IF(Konfiguration_Configuration!$B$4="","",Konfiguration_Configuration!$B$4)</f>
        <v/>
      </c>
      <c r="C173" s="127"/>
      <c r="D173" s="127"/>
      <c r="E173" s="126"/>
      <c r="F173" s="126"/>
      <c r="G173" s="128" t="str">
        <f>Konfiguration_Configuration!J$13</f>
        <v>PreisrichterIn 2</v>
      </c>
      <c r="H173" s="178" t="str">
        <f>IF(Konfiguration_Configuration!$B$13="","",Konfiguration_Configuration!$B$13)&amp;IF(Konfiguration_Configuration!$E$13="","",", "&amp;Konfiguration_Configuration!$E$13)&amp;IF(Konfiguration_Configuration!$H$13="","",CONCATENATE(" (",Konfiguration_Configuration!$H$11," ",Konfiguration_Configuration!$H$13&amp;")"))</f>
        <v/>
      </c>
      <c r="I173" s="178"/>
      <c r="J173" s="178"/>
      <c r="S173" s="127" t="str">
        <f>IF(Konfiguration_Configuration!$B$4="","",Konfiguration_Configuration!$B$4)</f>
        <v/>
      </c>
      <c r="T173" s="127"/>
      <c r="U173" s="147"/>
      <c r="V173" s="147"/>
      <c r="X173" s="128" t="str">
        <f>Konfiguration_Configuration!$J$13</f>
        <v>PreisrichterIn 2</v>
      </c>
      <c r="Y173" s="178" t="str">
        <f t="shared" ref="Y173:Y175" si="16">H173</f>
        <v/>
      </c>
      <c r="Z173" s="178"/>
      <c r="AA173" s="178"/>
      <c r="AJ173" s="127" t="str">
        <f>IF(Konfiguration_Configuration!$B$4="","",Konfiguration_Configuration!$B$4)</f>
        <v/>
      </c>
      <c r="AK173" s="127"/>
      <c r="AL173" s="147"/>
      <c r="AM173" s="147"/>
      <c r="AO173" s="128" t="str">
        <f>Konfiguration_Configuration!$J$13</f>
        <v>PreisrichterIn 2</v>
      </c>
      <c r="AP173" s="178" t="str">
        <f t="shared" ref="AP173:AP175" si="17">H173</f>
        <v/>
      </c>
      <c r="AQ173" s="178"/>
      <c r="AR173" s="178"/>
      <c r="BA173" s="127" t="str">
        <f>IF(Konfiguration_Configuration!$B$4="","",Konfiguration_Configuration!$B$4)</f>
        <v/>
      </c>
      <c r="BB173" s="127"/>
      <c r="BC173" s="147"/>
      <c r="BD173" s="147"/>
      <c r="BF173" s="128" t="str">
        <f>Konfiguration_Configuration!$J$13</f>
        <v>PreisrichterIn 2</v>
      </c>
      <c r="BG173" s="178" t="str">
        <f t="shared" ref="BG173:BG175" si="18">H173</f>
        <v/>
      </c>
      <c r="BH173" s="178"/>
      <c r="BI173"/>
      <c r="BS173" s="56"/>
      <c r="BT173" s="56"/>
      <c r="BU173" s="130"/>
    </row>
    <row r="174" spans="1:73" ht="15.6">
      <c r="A174" s="126" t="str">
        <f>Konfiguration_Configuration!E$5</f>
        <v>Datum</v>
      </c>
      <c r="B174" s="364" t="str">
        <f>IF(Konfiguration_Configuration!$B$5="","",Konfiguration_Configuration!$B$5)</f>
        <v/>
      </c>
      <c r="C174" s="357"/>
      <c r="D174" s="127"/>
      <c r="E174" s="126"/>
      <c r="F174" s="126"/>
      <c r="G174" s="252" t="str">
        <f>Konfiguration_Configuration!J$14</f>
        <v>PreisrichterIn 3</v>
      </c>
      <c r="H174" s="178" t="str">
        <f>IF(Konfiguration_Configuration!$B$14="","",Konfiguration_Configuration!$B$14)&amp;IF(Konfiguration_Configuration!$E$14="","",", "&amp;Konfiguration_Configuration!$E$14)&amp;IF(Konfiguration_Configuration!$H$14="","",CONCATENATE(" (",Konfiguration_Configuration!$H$11," ",Konfiguration_Configuration!$H$14&amp;")"))</f>
        <v/>
      </c>
      <c r="I174" s="178"/>
      <c r="J174" s="178"/>
      <c r="S174" s="356" t="str">
        <f>IF(Konfiguration_Configuration!$B$5="","",Konfiguration_Configuration!$B$5)</f>
        <v/>
      </c>
      <c r="T174" s="357"/>
      <c r="U174" s="147"/>
      <c r="V174" s="147"/>
      <c r="X174" s="252" t="str">
        <f>Konfiguration_Configuration!$J$14</f>
        <v>PreisrichterIn 3</v>
      </c>
      <c r="Y174" s="178" t="str">
        <f t="shared" si="16"/>
        <v/>
      </c>
      <c r="Z174" s="178"/>
      <c r="AA174" s="178"/>
      <c r="AJ174" s="356" t="str">
        <f>IF(Konfiguration_Configuration!$B$5="","",Konfiguration_Configuration!$B$5)</f>
        <v/>
      </c>
      <c r="AK174" s="357"/>
      <c r="AL174" s="147"/>
      <c r="AM174" s="147"/>
      <c r="AO174" s="252" t="str">
        <f>Konfiguration_Configuration!$J$14</f>
        <v>PreisrichterIn 3</v>
      </c>
      <c r="AP174" s="178" t="str">
        <f t="shared" si="17"/>
        <v/>
      </c>
      <c r="AQ174" s="178"/>
      <c r="AR174" s="178"/>
      <c r="BA174" s="356" t="str">
        <f>IF(Konfiguration_Configuration!$B$5="","",Konfiguration_Configuration!$B$5)</f>
        <v/>
      </c>
      <c r="BB174" s="357"/>
      <c r="BC174" s="147"/>
      <c r="BD174" s="147"/>
      <c r="BF174" s="252" t="str">
        <f>Konfiguration_Configuration!$J$14</f>
        <v>PreisrichterIn 3</v>
      </c>
      <c r="BG174" s="178" t="str">
        <f t="shared" si="18"/>
        <v/>
      </c>
      <c r="BH174" s="178"/>
      <c r="BI174"/>
      <c r="BT174" s="56"/>
      <c r="BU174" s="130"/>
    </row>
    <row r="175" spans="1:73" ht="15.6">
      <c r="A175" s="126" t="str">
        <f>Konfiguration_Configuration!E$6</f>
        <v>Testklasse</v>
      </c>
      <c r="B175" s="127">
        <f>IF(Konfiguration_Configuration!$B$6="","",Konfiguration_Configuration!$B$6)</f>
        <v>6</v>
      </c>
      <c r="C175" s="127"/>
      <c r="D175" s="127"/>
      <c r="E175" s="126"/>
      <c r="F175" s="126"/>
      <c r="G175" s="128" t="str">
        <f>Konfiguration_Configuration!J$15</f>
        <v>Verantwortliche/r der Tests</v>
      </c>
      <c r="H175" s="178" t="str">
        <f>IF(Konfiguration_Configuration!$B$15="","",Konfiguration_Configuration!$B$15)&amp;IF(Konfiguration_Configuration!$E$15="","",", "&amp;Konfiguration_Configuration!$E$15)&amp;IF(Konfiguration_Configuration!$H$15="","",CONCATENATE(" (",Konfiguration_Configuration!$H$11," ",Konfiguration_Configuration!$H$15&amp;")"))</f>
        <v/>
      </c>
      <c r="I175" s="178"/>
      <c r="J175" s="178"/>
      <c r="S175" s="127">
        <f>IF(Konfiguration_Configuration!$B$6="","",Konfiguration_Configuration!$B$6)</f>
        <v>6</v>
      </c>
      <c r="T175" s="127"/>
      <c r="U175" s="147"/>
      <c r="V175" s="147"/>
      <c r="X175" s="128" t="str">
        <f>Konfiguration_Configuration!$J$15</f>
        <v>Verantwortliche/r der Tests</v>
      </c>
      <c r="Y175" s="178" t="str">
        <f t="shared" si="16"/>
        <v/>
      </c>
      <c r="Z175" s="178"/>
      <c r="AA175" s="178"/>
      <c r="AJ175" s="127">
        <f>IF(Konfiguration_Configuration!$B$6="","",Konfiguration_Configuration!$B$6)</f>
        <v>6</v>
      </c>
      <c r="AK175" s="127"/>
      <c r="AL175" s="147"/>
      <c r="AM175" s="147"/>
      <c r="AO175" s="128" t="str">
        <f>Konfiguration_Configuration!$J$15</f>
        <v>Verantwortliche/r der Tests</v>
      </c>
      <c r="AP175" s="178" t="str">
        <f t="shared" si="17"/>
        <v/>
      </c>
      <c r="AQ175" s="178"/>
      <c r="AR175" s="178"/>
      <c r="BA175" s="127">
        <f>IF(Konfiguration_Configuration!$B$6="","",Konfiguration_Configuration!$B$6)</f>
        <v>6</v>
      </c>
      <c r="BB175" s="127"/>
      <c r="BC175" s="147"/>
      <c r="BD175" s="147"/>
      <c r="BF175" s="128" t="str">
        <f>Konfiguration_Configuration!$J$15</f>
        <v>Verantwortliche/r der Tests</v>
      </c>
      <c r="BG175" s="178" t="str">
        <f t="shared" si="18"/>
        <v/>
      </c>
      <c r="BH175" s="178"/>
      <c r="BI175"/>
      <c r="BT175" s="56"/>
      <c r="BU175" s="130"/>
    </row>
    <row r="176" spans="1:73" ht="15" customHeight="1" collapsed="1">
      <c r="A176" s="124"/>
      <c r="B176" s="124"/>
      <c r="C176" s="124"/>
      <c r="D176" s="126"/>
      <c r="E176" s="126"/>
      <c r="F176" s="126"/>
      <c r="G176" s="128"/>
      <c r="H176" s="128"/>
      <c r="I176" s="128"/>
      <c r="Q176" s="157"/>
      <c r="R176" s="157"/>
      <c r="S176" s="124"/>
      <c r="T176" s="124"/>
      <c r="AH176" s="157"/>
      <c r="AI176" s="157"/>
      <c r="AJ176" s="124"/>
      <c r="AK176" s="124"/>
      <c r="AY176" s="171"/>
      <c r="BA176" s="124"/>
      <c r="BB176" s="124"/>
      <c r="BP176" s="157"/>
      <c r="BQ176" s="157"/>
      <c r="BT176" s="56"/>
      <c r="BU176" s="130"/>
    </row>
    <row r="177" spans="1:72" s="54" customFormat="1" ht="15" hidden="1" customHeight="1" outlineLevel="1">
      <c r="A177" s="57" t="s">
        <v>198</v>
      </c>
      <c r="B177" s="57"/>
      <c r="C177" s="57" t="s">
        <v>199</v>
      </c>
      <c r="D177" s="57" t="s">
        <v>200</v>
      </c>
      <c r="E177" s="57"/>
      <c r="F177" s="57"/>
      <c r="G177" s="57" t="s">
        <v>201</v>
      </c>
      <c r="H177" s="57"/>
      <c r="I177" s="57"/>
      <c r="J177" s="57" t="s">
        <v>202</v>
      </c>
      <c r="K177" s="57"/>
      <c r="L177" s="57"/>
      <c r="M177" s="57" t="s">
        <v>203</v>
      </c>
      <c r="N177" s="57"/>
      <c r="O177" s="57"/>
      <c r="P177" s="57" t="s">
        <v>204</v>
      </c>
      <c r="Q177" s="57"/>
      <c r="R177" s="57"/>
      <c r="S177" s="57"/>
      <c r="T177" s="57"/>
      <c r="U177" s="57" t="s">
        <v>205</v>
      </c>
      <c r="V177" s="57"/>
      <c r="W177" s="57"/>
      <c r="X177" s="57" t="s">
        <v>206</v>
      </c>
      <c r="Y177" s="57"/>
      <c r="Z177" s="57"/>
      <c r="AA177" s="57" t="s">
        <v>207</v>
      </c>
      <c r="AB177" s="57"/>
      <c r="AC177" s="57"/>
      <c r="AD177" s="57" t="s">
        <v>208</v>
      </c>
      <c r="AE177" s="57"/>
      <c r="AF177" s="57"/>
      <c r="AG177" s="57" t="s">
        <v>209</v>
      </c>
      <c r="AH177" s="57"/>
      <c r="AI177" s="57"/>
      <c r="AL177" s="57" t="s">
        <v>210</v>
      </c>
      <c r="AM177" s="57"/>
      <c r="AN177" s="57"/>
      <c r="AO177" s="57" t="s">
        <v>211</v>
      </c>
      <c r="AP177" s="57"/>
      <c r="AQ177" s="57"/>
      <c r="AR177" s="57" t="s">
        <v>212</v>
      </c>
      <c r="AS177" s="57"/>
      <c r="AT177" s="57"/>
      <c r="AU177" s="57" t="s">
        <v>213</v>
      </c>
      <c r="AV177" s="57"/>
      <c r="AW177" s="57"/>
      <c r="AX177" s="57" t="s">
        <v>214</v>
      </c>
      <c r="AY177" s="57"/>
      <c r="AZ177" s="57"/>
      <c r="BC177" s="57" t="s">
        <v>215</v>
      </c>
      <c r="BD177" s="57"/>
      <c r="BE177" s="57"/>
      <c r="BF177" s="57" t="s">
        <v>216</v>
      </c>
      <c r="BG177" s="57"/>
      <c r="BH177" s="57"/>
      <c r="BI177" s="57" t="s">
        <v>217</v>
      </c>
      <c r="BJ177" s="57"/>
      <c r="BK177" s="57"/>
      <c r="BL177" s="57" t="s">
        <v>218</v>
      </c>
      <c r="BM177" s="57"/>
      <c r="BN177" s="57"/>
      <c r="BO177" s="57" t="s">
        <v>219</v>
      </c>
      <c r="BP177" s="85"/>
      <c r="BQ177" s="85"/>
    </row>
    <row r="178" spans="1:72" s="54" customFormat="1" ht="15" hidden="1" customHeight="1" outlineLevel="1">
      <c r="A178" s="57" t="s">
        <v>220</v>
      </c>
      <c r="B178" s="70"/>
      <c r="C178" s="182" t="s">
        <v>221</v>
      </c>
      <c r="D178" s="182" t="s">
        <v>222</v>
      </c>
      <c r="E178" s="70"/>
      <c r="F178" s="70"/>
      <c r="G178" s="182" t="s">
        <v>223</v>
      </c>
      <c r="H178" s="70"/>
      <c r="I178" s="70"/>
      <c r="J178" s="182" t="s">
        <v>224</v>
      </c>
      <c r="K178" s="70"/>
      <c r="L178" s="70"/>
      <c r="M178" s="182" t="s">
        <v>225</v>
      </c>
      <c r="N178" s="70"/>
      <c r="O178" s="70"/>
      <c r="P178" s="182" t="s">
        <v>226</v>
      </c>
      <c r="Q178" s="70"/>
      <c r="R178" s="70"/>
      <c r="U178" s="182" t="s">
        <v>227</v>
      </c>
      <c r="V178" s="70"/>
      <c r="W178" s="70"/>
      <c r="X178" s="182" t="s">
        <v>228</v>
      </c>
      <c r="Y178" s="70"/>
      <c r="Z178" s="70"/>
      <c r="AA178" s="182" t="s">
        <v>229</v>
      </c>
      <c r="AB178" s="70"/>
      <c r="AC178" s="70"/>
      <c r="AD178" s="182" t="s">
        <v>230</v>
      </c>
      <c r="AE178" s="70"/>
      <c r="AF178" s="70"/>
      <c r="AG178" s="182" t="s">
        <v>231</v>
      </c>
      <c r="AH178" s="70"/>
      <c r="AI178" s="70"/>
      <c r="AL178" s="182" t="s">
        <v>232</v>
      </c>
      <c r="AM178" s="70"/>
      <c r="AN178" s="70"/>
      <c r="AO178" s="182" t="s">
        <v>233</v>
      </c>
      <c r="AP178" s="70"/>
      <c r="AQ178" s="70"/>
      <c r="AR178" s="182" t="s">
        <v>234</v>
      </c>
      <c r="AS178" s="70"/>
      <c r="AT178" s="70"/>
      <c r="AU178" s="182" t="s">
        <v>235</v>
      </c>
      <c r="AV178" s="70"/>
      <c r="AW178" s="70"/>
      <c r="AX178" s="182" t="s">
        <v>236</v>
      </c>
      <c r="AY178" s="70"/>
      <c r="AZ178" s="70"/>
      <c r="BC178" s="182" t="s">
        <v>237</v>
      </c>
      <c r="BD178" s="70"/>
      <c r="BE178" s="70"/>
      <c r="BF178" s="182" t="s">
        <v>238</v>
      </c>
      <c r="BG178" s="70"/>
      <c r="BH178" s="70"/>
      <c r="BI178" s="182" t="s">
        <v>239</v>
      </c>
      <c r="BJ178" s="70"/>
      <c r="BK178" s="70"/>
      <c r="BL178" s="182" t="s">
        <v>240</v>
      </c>
      <c r="BM178" s="70"/>
      <c r="BN178" s="70"/>
      <c r="BO178" s="182" t="s">
        <v>241</v>
      </c>
      <c r="BP178" s="115"/>
      <c r="BQ178" s="115"/>
    </row>
    <row r="179" spans="1:72" ht="15" customHeight="1">
      <c r="D179" s="156" t="str">
        <f>IF(Konfiguration_Configuration!$B$2=Konfiguration_Configuration!$L$1,'Notizenblatt_Feuille de juge'!D177,'Notizenblatt_Feuille de juge'!D178)</f>
        <v>TN1</v>
      </c>
      <c r="E179" s="156"/>
      <c r="F179" s="156"/>
      <c r="G179" s="156" t="str">
        <f>IF(Konfiguration_Configuration!$B$2=Konfiguration_Configuration!$L$1,'Notizenblatt_Feuille de juge'!G177,'Notizenblatt_Feuille de juge'!G178)</f>
        <v>TN2</v>
      </c>
      <c r="H179" s="156"/>
      <c r="I179" s="156"/>
      <c r="J179" s="156" t="str">
        <f>IF(Konfiguration_Configuration!$B$2=Konfiguration_Configuration!$L$1,'Notizenblatt_Feuille de juge'!J177,'Notizenblatt_Feuille de juge'!J178)</f>
        <v>TN3</v>
      </c>
      <c r="K179" s="156"/>
      <c r="L179" s="156"/>
      <c r="M179" s="156" t="str">
        <f>IF(Konfiguration_Configuration!$B$2=Konfiguration_Configuration!$L$1,'Notizenblatt_Feuille de juge'!M177,'Notizenblatt_Feuille de juge'!M178)</f>
        <v>TN4</v>
      </c>
      <c r="N179" s="156"/>
      <c r="O179" s="156"/>
      <c r="P179" s="156" t="str">
        <f>IF(Konfiguration_Configuration!$B$2=Konfiguration_Configuration!$L$1,'Notizenblatt_Feuille de juge'!P177,'Notizenblatt_Feuille de juge'!P178)</f>
        <v>TN5</v>
      </c>
      <c r="Q179" s="156"/>
      <c r="R179" s="156"/>
      <c r="U179" s="156" t="str">
        <f>IF(Konfiguration_Configuration!$B$2=Konfiguration_Configuration!$L$1,'Notizenblatt_Feuille de juge'!U177,'Notizenblatt_Feuille de juge'!U178)</f>
        <v>TN6</v>
      </c>
      <c r="V179" s="156"/>
      <c r="W179" s="156"/>
      <c r="X179" s="156" t="str">
        <f>IF(Konfiguration_Configuration!$B$2=Konfiguration_Configuration!$L$1,'Notizenblatt_Feuille de juge'!X177,'Notizenblatt_Feuille de juge'!X178)</f>
        <v>TN7</v>
      </c>
      <c r="Y179" s="156"/>
      <c r="Z179" s="156"/>
      <c r="AA179" s="156" t="str">
        <f>IF(Konfiguration_Configuration!$B$2=Konfiguration_Configuration!$L$1,'Notizenblatt_Feuille de juge'!AA177,'Notizenblatt_Feuille de juge'!AA178)</f>
        <v>TN8</v>
      </c>
      <c r="AB179" s="156"/>
      <c r="AC179" s="156"/>
      <c r="AD179" s="156" t="str">
        <f>IF(Konfiguration_Configuration!$B$2=Konfiguration_Configuration!$L$1,'Notizenblatt_Feuille de juge'!AD177,'Notizenblatt_Feuille de juge'!AD178)</f>
        <v>TN9</v>
      </c>
      <c r="AE179" s="156"/>
      <c r="AF179" s="156"/>
      <c r="AG179" s="156" t="str">
        <f>IF(Konfiguration_Configuration!$B$2=Konfiguration_Configuration!$L$1,'Notizenblatt_Feuille de juge'!AG177,'Notizenblatt_Feuille de juge'!AG178)</f>
        <v>TN10</v>
      </c>
      <c r="AH179" s="156"/>
      <c r="AI179" s="156"/>
      <c r="AL179" s="156" t="str">
        <f>IF(Konfiguration_Configuration!$B$2=Konfiguration_Configuration!$L$1,'Notizenblatt_Feuille de juge'!AL177,'Notizenblatt_Feuille de juge'!AL178)</f>
        <v>TN11</v>
      </c>
      <c r="AM179" s="156"/>
      <c r="AN179" s="156"/>
      <c r="AO179" s="156" t="str">
        <f>IF(Konfiguration_Configuration!$B$2=Konfiguration_Configuration!$L$1,'Notizenblatt_Feuille de juge'!AO177,'Notizenblatt_Feuille de juge'!AO178)</f>
        <v>TN12</v>
      </c>
      <c r="AP179" s="156"/>
      <c r="AQ179" s="156"/>
      <c r="AR179" s="156" t="str">
        <f>IF(Konfiguration_Configuration!$B$2=Konfiguration_Configuration!$L$1,'Notizenblatt_Feuille de juge'!AR177,'Notizenblatt_Feuille de juge'!AR178)</f>
        <v>TN13</v>
      </c>
      <c r="AS179" s="156"/>
      <c r="AT179" s="156"/>
      <c r="AU179" s="156" t="str">
        <f>IF(Konfiguration_Configuration!$B$2=Konfiguration_Configuration!$L$1,'Notizenblatt_Feuille de juge'!AU177,'Notizenblatt_Feuille de juge'!AU178)</f>
        <v>TN14</v>
      </c>
      <c r="AV179" s="156"/>
      <c r="AW179" s="156"/>
      <c r="AX179" s="156" t="str">
        <f>IF(Konfiguration_Configuration!$B$2=Konfiguration_Configuration!$L$1,'Notizenblatt_Feuille de juge'!AX177,'Notizenblatt_Feuille de juge'!AX178)</f>
        <v>TN15</v>
      </c>
      <c r="AY179" s="156"/>
      <c r="AZ179" s="156"/>
      <c r="BC179" s="156" t="str">
        <f>IF(Konfiguration_Configuration!$B$2=Konfiguration_Configuration!$L$1,'Notizenblatt_Feuille de juge'!BC177,'Notizenblatt_Feuille de juge'!BC178)</f>
        <v>TN16</v>
      </c>
      <c r="BD179" s="156"/>
      <c r="BE179" s="156"/>
      <c r="BF179" s="156" t="str">
        <f>IF(Konfiguration_Configuration!$B$2=Konfiguration_Configuration!$L$1,'Notizenblatt_Feuille de juge'!BF177,'Notizenblatt_Feuille de juge'!BF178)</f>
        <v>TN17</v>
      </c>
      <c r="BG179" s="156"/>
      <c r="BH179" s="156"/>
      <c r="BI179" s="156" t="str">
        <f>IF(Konfiguration_Configuration!$B$2=Konfiguration_Configuration!$L$1,'Notizenblatt_Feuille de juge'!BI177,'Notizenblatt_Feuille de juge'!BI178)</f>
        <v>TN18</v>
      </c>
      <c r="BJ179" s="156"/>
      <c r="BK179" s="156"/>
      <c r="BL179" s="156" t="str">
        <f>IF(Konfiguration_Configuration!$B$2=Konfiguration_Configuration!$L$1,'Notizenblatt_Feuille de juge'!BL177,'Notizenblatt_Feuille de juge'!BL178)</f>
        <v>TN19</v>
      </c>
      <c r="BM179" s="156"/>
      <c r="BN179" s="156"/>
      <c r="BO179" s="156" t="str">
        <f>IF(Konfiguration_Configuration!$B$2=Konfiguration_Configuration!$L$1,'Notizenblatt_Feuille de juge'!BO177,'Notizenblatt_Feuille de juge'!BO178)</f>
        <v>TN20</v>
      </c>
      <c r="BP179" s="156"/>
      <c r="BQ179" s="156"/>
    </row>
    <row r="180" spans="1:72" ht="21" customHeight="1">
      <c r="A180" s="148"/>
      <c r="B180" s="172" t="str">
        <f>Konfiguration_Configuration!B$21</f>
        <v>Name</v>
      </c>
      <c r="C180" s="159"/>
      <c r="D180" s="173" t="str">
        <f>IF(Konfiguration_Configuration!$B$22="","",Konfiguration_Configuration!$B$22)</f>
        <v/>
      </c>
      <c r="E180" s="173"/>
      <c r="F180" s="174"/>
      <c r="G180" s="162" t="str">
        <f>IF(Konfiguration_Configuration!$B$23="","",Konfiguration_Configuration!$B$23)</f>
        <v/>
      </c>
      <c r="H180" s="163"/>
      <c r="I180" s="164"/>
      <c r="J180" s="162" t="str">
        <f>IF(Konfiguration_Configuration!$B$24="","",Konfiguration_Configuration!$B$24)</f>
        <v/>
      </c>
      <c r="K180" s="163"/>
      <c r="L180" s="164"/>
      <c r="M180" s="162" t="str">
        <f>IF(Konfiguration_Configuration!$B$25="","",Konfiguration_Configuration!$B$25)</f>
        <v/>
      </c>
      <c r="N180" s="163"/>
      <c r="O180" s="164"/>
      <c r="P180" s="162" t="str">
        <f>IF(Konfiguration_Configuration!$B$26="","",Konfiguration_Configuration!$B$26)</f>
        <v/>
      </c>
      <c r="Q180" s="163"/>
      <c r="R180" s="164"/>
      <c r="S180" s="158" t="str">
        <f>B180</f>
        <v>Name</v>
      </c>
      <c r="T180" s="159"/>
      <c r="U180" s="162" t="str">
        <f>IF(Konfiguration_Configuration!$B$27="","",Konfiguration_Configuration!$B$27)</f>
        <v/>
      </c>
      <c r="V180" s="163"/>
      <c r="W180" s="164"/>
      <c r="X180" s="162" t="str">
        <f>IF(Konfiguration_Configuration!$B$28="","",Konfiguration_Configuration!$B$28)</f>
        <v/>
      </c>
      <c r="Y180" s="163"/>
      <c r="Z180" s="164"/>
      <c r="AA180" s="162" t="str">
        <f>IF(Konfiguration_Configuration!$B$29="","",Konfiguration_Configuration!$B$29)</f>
        <v/>
      </c>
      <c r="AB180" s="163"/>
      <c r="AC180" s="164"/>
      <c r="AD180" s="162" t="str">
        <f>IF(Konfiguration_Configuration!$B$30="","",Konfiguration_Configuration!$B$30)</f>
        <v/>
      </c>
      <c r="AE180" s="163"/>
      <c r="AF180" s="164"/>
      <c r="AG180" s="162" t="str">
        <f>IF(Konfiguration_Configuration!$B$31="","",Konfiguration_Configuration!$B$31)</f>
        <v/>
      </c>
      <c r="AH180" s="163"/>
      <c r="AI180" s="164"/>
      <c r="AJ180" s="158" t="str">
        <f>B180</f>
        <v>Name</v>
      </c>
      <c r="AK180" s="159"/>
      <c r="AL180" s="162" t="str">
        <f>IF(Konfiguration_Configuration!$B$32="","",Konfiguration_Configuration!$B$32)</f>
        <v/>
      </c>
      <c r="AM180" s="163"/>
      <c r="AN180" s="164"/>
      <c r="AO180" s="162" t="str">
        <f>IF(Konfiguration_Configuration!$B$33="","",Konfiguration_Configuration!$B$33)</f>
        <v/>
      </c>
      <c r="AP180" s="163"/>
      <c r="AQ180" s="164"/>
      <c r="AR180" s="162" t="str">
        <f>IF(Konfiguration_Configuration!$B$34="","",Konfiguration_Configuration!$B$34)</f>
        <v/>
      </c>
      <c r="AS180" s="163"/>
      <c r="AT180" s="164"/>
      <c r="AU180" s="162" t="str">
        <f>IF(Konfiguration_Configuration!$B$35="","",Konfiguration_Configuration!$B$35)</f>
        <v/>
      </c>
      <c r="AV180" s="163"/>
      <c r="AW180" s="164"/>
      <c r="AX180" s="162" t="str">
        <f>IF(Konfiguration_Configuration!$B$36="","",Konfiguration_Configuration!$B$36)</f>
        <v/>
      </c>
      <c r="AY180" s="163"/>
      <c r="AZ180" s="164"/>
      <c r="BA180" s="158" t="str">
        <f>B180</f>
        <v>Name</v>
      </c>
      <c r="BB180" s="159"/>
      <c r="BC180" s="162" t="str">
        <f>IF(Konfiguration_Configuration!$B$37="","",Konfiguration_Configuration!$B$37)</f>
        <v/>
      </c>
      <c r="BD180" s="163"/>
      <c r="BE180" s="164"/>
      <c r="BF180" s="162" t="str">
        <f>IF(Konfiguration_Configuration!$B$38="","",Konfiguration_Configuration!$B$38)</f>
        <v/>
      </c>
      <c r="BG180" s="163"/>
      <c r="BH180" s="164"/>
      <c r="BI180" s="162" t="str">
        <f>IF(Konfiguration_Configuration!$B$39="","",Konfiguration_Configuration!$B$39)</f>
        <v/>
      </c>
      <c r="BJ180" s="163"/>
      <c r="BK180" s="164"/>
      <c r="BL180" s="162" t="str">
        <f>IF(Konfiguration_Configuration!$B$40="","",Konfiguration_Configuration!$B$40)</f>
        <v/>
      </c>
      <c r="BM180" s="163"/>
      <c r="BN180" s="164"/>
      <c r="BO180" s="162" t="str">
        <f>IF(Konfiguration_Configuration!$B$41="","",Konfiguration_Configuration!$B$41)</f>
        <v/>
      </c>
      <c r="BP180" s="163"/>
      <c r="BQ180" s="164"/>
    </row>
    <row r="181" spans="1:72" ht="25.5" customHeight="1">
      <c r="A181" s="131"/>
      <c r="B181" s="160" t="str">
        <f>Konfiguration_Configuration!E$11</f>
        <v>Klub</v>
      </c>
      <c r="C181" s="161"/>
      <c r="D181" s="179" t="str">
        <f>IF(Konfiguration_Configuration!$E$22="","",Konfiguration_Configuration!$E$22) &amp; IF(Konfiguration_Configuration!$H$22="",""," / " &amp; Konfiguration_Configuration!$H$22)</f>
        <v/>
      </c>
      <c r="E181" s="180"/>
      <c r="F181" s="181"/>
      <c r="G181" s="165" t="str">
        <f>IF(Konfiguration_Configuration!$E$23="","",Konfiguration_Configuration!$E$23) &amp; IF(Konfiguration_Configuration!$H$23="",""," / " &amp; Konfiguration_Configuration!$H$23)</f>
        <v/>
      </c>
      <c r="H181" s="166"/>
      <c r="I181" s="167"/>
      <c r="J181" s="165" t="str">
        <f>IF(Konfiguration_Configuration!$E$24="","",Konfiguration_Configuration!$E$24) &amp; IF(Konfiguration_Configuration!$H$24="",""," / " &amp; Konfiguration_Configuration!$H$24)</f>
        <v/>
      </c>
      <c r="K181" s="166"/>
      <c r="L181" s="167"/>
      <c r="M181" s="165" t="str">
        <f>IF(Konfiguration_Configuration!$E$25="","",Konfiguration_Configuration!$E$25) &amp; IF(Konfiguration_Configuration!$H$25="",""," / " &amp; Konfiguration_Configuration!$H$25)</f>
        <v/>
      </c>
      <c r="N181" s="166"/>
      <c r="O181" s="167"/>
      <c r="P181" s="165" t="str">
        <f>IF(Konfiguration_Configuration!$E$26="","",Konfiguration_Configuration!$E$26) &amp; IF(Konfiguration_Configuration!$H$26="",""," / " &amp; Konfiguration_Configuration!$H$26)</f>
        <v/>
      </c>
      <c r="Q181" s="166"/>
      <c r="R181" s="167"/>
      <c r="S181" s="160" t="str">
        <f>B181</f>
        <v>Klub</v>
      </c>
      <c r="T181" s="161"/>
      <c r="U181" s="165" t="str">
        <f>IF(Konfiguration_Configuration!$E$27="","",Konfiguration_Configuration!$E$27) &amp; IF(Konfiguration_Configuration!$H$27="",""," / " &amp; Konfiguration_Configuration!$H$27)</f>
        <v/>
      </c>
      <c r="V181" s="166"/>
      <c r="W181" s="167"/>
      <c r="X181" s="165" t="str">
        <f>IF(Konfiguration_Configuration!$E$28="","",Konfiguration_Configuration!$E$28) &amp; IF(Konfiguration_Configuration!$H$28="",""," / " &amp; Konfiguration_Configuration!$H$28)</f>
        <v/>
      </c>
      <c r="Y181" s="166"/>
      <c r="Z181" s="167"/>
      <c r="AA181" s="165" t="str">
        <f>IF(Konfiguration_Configuration!$E$29="","",Konfiguration_Configuration!$E$29) &amp; IF(Konfiguration_Configuration!$H$29="",""," / " &amp; Konfiguration_Configuration!$H$29)</f>
        <v/>
      </c>
      <c r="AB181" s="166"/>
      <c r="AC181" s="167"/>
      <c r="AD181" s="165" t="str">
        <f>IF(Konfiguration_Configuration!$E$30="","",Konfiguration_Configuration!$E$30) &amp; IF(Konfiguration_Configuration!$H$30="",""," / " &amp; Konfiguration_Configuration!$H$30)</f>
        <v/>
      </c>
      <c r="AE181" s="166"/>
      <c r="AF181" s="167"/>
      <c r="AG181" s="165" t="str">
        <f>IF(Konfiguration_Configuration!$E$31="","",Konfiguration_Configuration!$E$31) &amp; IF(Konfiguration_Configuration!$H$31="",""," / " &amp; Konfiguration_Configuration!$H$31)</f>
        <v/>
      </c>
      <c r="AH181" s="166"/>
      <c r="AI181" s="167"/>
      <c r="AJ181" s="160" t="str">
        <f>B181</f>
        <v>Klub</v>
      </c>
      <c r="AK181" s="161"/>
      <c r="AL181" s="165" t="str">
        <f>IF(Konfiguration_Configuration!$E$32="","",Konfiguration_Configuration!$E$32) &amp; IF(Konfiguration_Configuration!$H$32="",""," / " &amp; Konfiguration_Configuration!$H$32)</f>
        <v/>
      </c>
      <c r="AM181" s="166"/>
      <c r="AN181" s="167"/>
      <c r="AO181" s="165" t="str">
        <f>IF(Konfiguration_Configuration!$E$33="","",Konfiguration_Configuration!$E$33) &amp; IF(Konfiguration_Configuration!$H$33="",""," / " &amp; Konfiguration_Configuration!$H$33)</f>
        <v/>
      </c>
      <c r="AP181" s="166"/>
      <c r="AQ181" s="167"/>
      <c r="AR181" s="165" t="str">
        <f>IF(Konfiguration_Configuration!$E$34="","",Konfiguration_Configuration!$E$34) &amp; IF(Konfiguration_Configuration!$H$34="",""," / " &amp; Konfiguration_Configuration!$H$34)</f>
        <v/>
      </c>
      <c r="AS181" s="166"/>
      <c r="AT181" s="167"/>
      <c r="AU181" s="165" t="str">
        <f>IF(Konfiguration_Configuration!$E$35="","",Konfiguration_Configuration!$E$35) &amp; IF(Konfiguration_Configuration!$H$35="",""," / " &amp; Konfiguration_Configuration!$H$35)</f>
        <v/>
      </c>
      <c r="AV181" s="166"/>
      <c r="AW181" s="167"/>
      <c r="AX181" s="165" t="str">
        <f>IF(Konfiguration_Configuration!$E$36="","",Konfiguration_Configuration!$E$36) &amp; IF(Konfiguration_Configuration!$H$36="",""," / " &amp; Konfiguration_Configuration!$H$36)</f>
        <v/>
      </c>
      <c r="AY181" s="166"/>
      <c r="AZ181" s="167"/>
      <c r="BA181" s="160" t="str">
        <f>B181</f>
        <v>Klub</v>
      </c>
      <c r="BB181" s="161"/>
      <c r="BC181" s="165" t="str">
        <f>IF(Konfiguration_Configuration!$E$37="","",Konfiguration_Configuration!$E$37) &amp; IF(Konfiguration_Configuration!$H$37="",""," / " &amp; Konfiguration_Configuration!$H$37)</f>
        <v/>
      </c>
      <c r="BD181" s="166"/>
      <c r="BE181" s="167"/>
      <c r="BF181" s="165" t="str">
        <f>IF(Konfiguration_Configuration!$E$38="","",Konfiguration_Configuration!$E$38) &amp; IF(Konfiguration_Configuration!$H$38="",""," / " &amp; Konfiguration_Configuration!$H$38)</f>
        <v/>
      </c>
      <c r="BG181" s="166"/>
      <c r="BH181" s="167"/>
      <c r="BI181" s="165" t="str">
        <f>IF(Konfiguration_Configuration!$E$39="","",Konfiguration_Configuration!$E$39) &amp; IF(Konfiguration_Configuration!$H$39="",""," / " &amp; Konfiguration_Configuration!$H$39)</f>
        <v/>
      </c>
      <c r="BJ181" s="166"/>
      <c r="BK181" s="167"/>
      <c r="BL181" s="165" t="str">
        <f>IF(Konfiguration_Configuration!$E$40="","",Konfiguration_Configuration!$E$40) &amp; IF(Konfiguration_Configuration!$H$40="",""," / " &amp; Konfiguration_Configuration!$H$40)</f>
        <v/>
      </c>
      <c r="BM181" s="166"/>
      <c r="BN181" s="167"/>
      <c r="BO181" s="165" t="str">
        <f>IF(Konfiguration_Configuration!$E$41="","",Konfiguration_Configuration!$E$41) &amp; IF(Konfiguration_Configuration!$H$41="",""," / " &amp; Konfiguration_Configuration!$H$41)</f>
        <v/>
      </c>
      <c r="BP181" s="166"/>
      <c r="BQ181" s="167"/>
    </row>
    <row r="182" spans="1:72" ht="32.1" customHeight="1">
      <c r="A182" s="366" t="str">
        <f>VLOOKUP(CONCATENATE("21",Konfiguration_Configuration!$N$6),Daten!$B$5:$E$99,2,FALSE)</f>
        <v>Vorgeschriebene Schritte (TES)</v>
      </c>
      <c r="B182" s="367"/>
      <c r="C182" s="368"/>
      <c r="D182" s="373"/>
      <c r="E182" s="330"/>
      <c r="F182" s="330"/>
      <c r="G182" s="330"/>
      <c r="H182" s="330"/>
      <c r="I182" s="330"/>
      <c r="J182" s="330"/>
      <c r="K182" s="330"/>
      <c r="L182" s="330"/>
      <c r="M182" s="330"/>
      <c r="N182" s="330"/>
      <c r="O182" s="330"/>
      <c r="P182" s="330"/>
      <c r="Q182" s="330"/>
      <c r="R182" s="331"/>
      <c r="S182" s="169"/>
      <c r="T182" s="137"/>
      <c r="U182" s="135"/>
      <c r="V182" s="186"/>
      <c r="W182" s="212"/>
      <c r="X182" s="135"/>
      <c r="Y182" s="186"/>
      <c r="Z182" s="212"/>
      <c r="AA182" s="135"/>
      <c r="AB182" s="186"/>
      <c r="AC182" s="212"/>
      <c r="AD182" s="135"/>
      <c r="AE182" s="186"/>
      <c r="AF182" s="212"/>
      <c r="AG182" s="135"/>
      <c r="AH182" s="186"/>
      <c r="AI182" s="212"/>
      <c r="AJ182" s="169"/>
      <c r="AK182" s="137"/>
      <c r="AL182" s="135"/>
      <c r="AM182" s="186"/>
      <c r="AN182" s="212"/>
      <c r="AO182" s="135"/>
      <c r="AP182" s="186"/>
      <c r="AQ182" s="212"/>
      <c r="AR182" s="135"/>
      <c r="AS182" s="186"/>
      <c r="AT182" s="212"/>
      <c r="AU182" s="135"/>
      <c r="AV182" s="186"/>
      <c r="AW182" s="212"/>
      <c r="AX182" s="135"/>
      <c r="AY182" s="186"/>
      <c r="AZ182" s="212"/>
      <c r="BA182" s="169"/>
      <c r="BB182" s="137"/>
      <c r="BC182" s="135"/>
      <c r="BD182" s="186"/>
      <c r="BE182" s="212"/>
      <c r="BF182" s="135"/>
      <c r="BG182" s="186"/>
      <c r="BH182" s="212"/>
      <c r="BI182" s="135"/>
      <c r="BJ182" s="186"/>
      <c r="BK182" s="212"/>
      <c r="BL182" s="135"/>
      <c r="BM182" s="186"/>
      <c r="BN182" s="212"/>
      <c r="BO182" s="135"/>
      <c r="BP182" s="186"/>
      <c r="BQ182" s="212"/>
    </row>
    <row r="183" spans="1:72" ht="32.1" customHeight="1">
      <c r="A183" s="136" t="str">
        <f>CONCATENATE(LEFT(A$44,LEN(A$44)-6)," 1:")</f>
        <v>Vorgeschriebene Schritte 1:</v>
      </c>
      <c r="B183" s="168">
        <f>VLOOKUP(CONCATENATE("22",Konfiguration_Configuration!$N$6),Daten!$B$5:$E$99,3,FALSE)</f>
        <v>0.6</v>
      </c>
      <c r="C183" s="362"/>
      <c r="D183" s="358"/>
      <c r="E183" s="360"/>
      <c r="F183" s="190"/>
      <c r="G183" s="358"/>
      <c r="H183" s="360"/>
      <c r="I183" s="190"/>
      <c r="J183" s="358"/>
      <c r="K183" s="360"/>
      <c r="L183" s="190"/>
      <c r="M183" s="358"/>
      <c r="N183" s="360"/>
      <c r="O183" s="190"/>
      <c r="P183" s="358"/>
      <c r="Q183" s="360"/>
      <c r="R183" s="190"/>
      <c r="S183" s="168">
        <f>VLOOKUP(CONCATENATE("22",Konfiguration_Configuration!$N$6),Daten!$B$5:$E$99,3,FALSE)</f>
        <v>0.6</v>
      </c>
      <c r="T183" s="362"/>
      <c r="U183" s="358"/>
      <c r="V183" s="360"/>
      <c r="W183" s="190"/>
      <c r="X183" s="358"/>
      <c r="Y183" s="360"/>
      <c r="Z183" s="190"/>
      <c r="AA183" s="358"/>
      <c r="AB183" s="360"/>
      <c r="AC183" s="190"/>
      <c r="AD183" s="358"/>
      <c r="AE183" s="360"/>
      <c r="AF183" s="190"/>
      <c r="AG183" s="358"/>
      <c r="AH183" s="360"/>
      <c r="AI183" s="190"/>
      <c r="AJ183" s="168">
        <f>VLOOKUP(CONCATENATE("22",Konfiguration_Configuration!$N$6),Daten!$B$5:$E$99,3,FALSE)</f>
        <v>0.6</v>
      </c>
      <c r="AK183" s="362"/>
      <c r="AL183" s="358"/>
      <c r="AM183" s="360"/>
      <c r="AN183" s="190"/>
      <c r="AO183" s="358"/>
      <c r="AP183" s="360"/>
      <c r="AQ183" s="190"/>
      <c r="AR183" s="358"/>
      <c r="AS183" s="360"/>
      <c r="AT183" s="190"/>
      <c r="AU183" s="358"/>
      <c r="AV183" s="360"/>
      <c r="AW183" s="190"/>
      <c r="AX183" s="358"/>
      <c r="AY183" s="360"/>
      <c r="AZ183" s="190"/>
      <c r="BA183" s="168">
        <f>VLOOKUP(CONCATENATE("22",Konfiguration_Configuration!$N$6),Daten!$B$5:$E$99,3,FALSE)</f>
        <v>0.6</v>
      </c>
      <c r="BB183" s="362"/>
      <c r="BC183" s="358"/>
      <c r="BD183" s="360"/>
      <c r="BE183" s="190"/>
      <c r="BF183" s="358"/>
      <c r="BG183" s="360"/>
      <c r="BH183" s="190"/>
      <c r="BI183" s="358"/>
      <c r="BJ183" s="360"/>
      <c r="BK183" s="190"/>
      <c r="BL183" s="358"/>
      <c r="BM183" s="360"/>
      <c r="BN183" s="190"/>
      <c r="BO183" s="358"/>
      <c r="BP183" s="360"/>
      <c r="BQ183" s="190"/>
    </row>
    <row r="184" spans="1:72" ht="32.1" customHeight="1">
      <c r="A184" s="210" t="str">
        <f>VLOOKUP(CONCATENATE("22",Konfiguration_Configuration!$N$6),Daten!$B$5:$E$99,2,FALSE)</f>
        <v>½ ChSqC</v>
      </c>
      <c r="B184" s="169"/>
      <c r="C184" s="363"/>
      <c r="D184" s="359"/>
      <c r="E184" s="361"/>
      <c r="F184" s="187" t="str">
        <f>IF(E183="","",MAX(E183,E184,#REF!)/10*$B$45+$B$45)</f>
        <v/>
      </c>
      <c r="G184" s="359"/>
      <c r="H184" s="361"/>
      <c r="I184" s="187" t="str">
        <f>IF(H183="","",MAX(H183,H184,#REF!)/10*$B$45+$B$45)</f>
        <v/>
      </c>
      <c r="J184" s="359"/>
      <c r="K184" s="361"/>
      <c r="L184" s="187" t="str">
        <f>IF(K183="","",MAX(K183,K184,#REF!)/10*$B$45+$B$45)</f>
        <v/>
      </c>
      <c r="M184" s="359"/>
      <c r="N184" s="361"/>
      <c r="O184" s="187" t="str">
        <f>IF(N183="","",MAX(N183,N184,#REF!)/10*$B$45+$B$45)</f>
        <v/>
      </c>
      <c r="P184" s="359"/>
      <c r="Q184" s="361"/>
      <c r="R184" s="187" t="str">
        <f>IF(Q183="","",MAX(Q183,Q184,#REF!)/10*$B$45+$B$45)</f>
        <v/>
      </c>
      <c r="S184" s="169"/>
      <c r="T184" s="363"/>
      <c r="U184" s="359"/>
      <c r="V184" s="361"/>
      <c r="W184" s="187" t="str">
        <f>IF(V183="","",MAX(V183,V184,#REF!)/10*$B$45+$B$45)</f>
        <v/>
      </c>
      <c r="X184" s="359"/>
      <c r="Y184" s="361"/>
      <c r="Z184" s="187" t="str">
        <f>IF(Y183="","",MAX(Y183,Y184,#REF!)/10*$B$45+$B$45)</f>
        <v/>
      </c>
      <c r="AA184" s="359"/>
      <c r="AB184" s="361"/>
      <c r="AC184" s="187" t="str">
        <f>IF(AB183="","",MAX(AB183,AB184,#REF!)/10*$B$45+$B$45)</f>
        <v/>
      </c>
      <c r="AD184" s="359"/>
      <c r="AE184" s="361"/>
      <c r="AF184" s="187" t="str">
        <f>IF(AE183="","",MAX(AE183,AE184,#REF!)/10*$B$45+$B$45)</f>
        <v/>
      </c>
      <c r="AG184" s="359"/>
      <c r="AH184" s="361"/>
      <c r="AI184" s="187" t="str">
        <f>IF(AH183="","",MAX(AH183,AH184,#REF!)/10*$B$45+$B$45)</f>
        <v/>
      </c>
      <c r="AJ184" s="169"/>
      <c r="AK184" s="363"/>
      <c r="AL184" s="359"/>
      <c r="AM184" s="361"/>
      <c r="AN184" s="187" t="str">
        <f>IF(AM183="","",MAX(AM183,AM184,#REF!)/10*$B$45+$B$45)</f>
        <v/>
      </c>
      <c r="AO184" s="359"/>
      <c r="AP184" s="361"/>
      <c r="AQ184" s="187" t="str">
        <f>IF(AP183="","",MAX(AP183,AP184,#REF!)/10*$B$45+$B$45)</f>
        <v/>
      </c>
      <c r="AR184" s="359"/>
      <c r="AS184" s="361"/>
      <c r="AT184" s="187" t="str">
        <f>IF(AS183="","",MAX(AS183,AS184,#REF!)/10*$B$45+$B$45)</f>
        <v/>
      </c>
      <c r="AU184" s="359"/>
      <c r="AV184" s="361"/>
      <c r="AW184" s="187" t="str">
        <f>IF(AV183="","",MAX(AV183,AV184,#REF!)/10*$B$45+$B$45)</f>
        <v/>
      </c>
      <c r="AX184" s="359"/>
      <c r="AY184" s="361"/>
      <c r="AZ184" s="187" t="str">
        <f>IF(AY183="","",MAX(AY183,AY184,#REF!)/10*$B$45+$B$45)</f>
        <v/>
      </c>
      <c r="BA184" s="169"/>
      <c r="BB184" s="363"/>
      <c r="BC184" s="359"/>
      <c r="BD184" s="361"/>
      <c r="BE184" s="187" t="str">
        <f>IF(BD183="","",MAX(BD183,BD184,#REF!)/10*$B$45+$B$45)</f>
        <v/>
      </c>
      <c r="BF184" s="359"/>
      <c r="BG184" s="361"/>
      <c r="BH184" s="187" t="str">
        <f>IF(BG183="","",MAX(BG183,BG184,#REF!)/10*$B$45+$B$45)</f>
        <v/>
      </c>
      <c r="BI184" s="359"/>
      <c r="BJ184" s="361"/>
      <c r="BK184" s="187" t="str">
        <f>IF(BJ183="","",MAX(BJ183,BJ184,#REF!)/10*$B$45+$B$45)</f>
        <v/>
      </c>
      <c r="BL184" s="359"/>
      <c r="BM184" s="361"/>
      <c r="BN184" s="187" t="str">
        <f>IF(BM183="","",MAX(BM183,BM184,#REF!)/10*$B$45+$B$45)</f>
        <v/>
      </c>
      <c r="BO184" s="359"/>
      <c r="BP184" s="361"/>
      <c r="BQ184" s="187" t="str">
        <f>IF(BP183="","",MAX(BP183,BP184,#REF!)/10*$B$45+$B$45)</f>
        <v/>
      </c>
    </row>
    <row r="185" spans="1:72" ht="32.1" customHeight="1">
      <c r="A185" s="136" t="str">
        <f>CONCATENATE(LEFT(A$44,LEN(A$44)-6)," 2:")</f>
        <v>Vorgeschriebene Schritte 2:</v>
      </c>
      <c r="B185" s="168">
        <f>VLOOKUP(CONCATENATE("23",Konfiguration_Configuration!$N$6),Daten!$B$5:$E$99,3,FALSE)</f>
        <v>0.6</v>
      </c>
      <c r="C185" s="362"/>
      <c r="D185" s="358"/>
      <c r="E185" s="360"/>
      <c r="F185" s="190"/>
      <c r="G185" s="358"/>
      <c r="H185" s="360"/>
      <c r="I185" s="190"/>
      <c r="J185" s="358"/>
      <c r="K185" s="360"/>
      <c r="L185" s="190"/>
      <c r="M185" s="358"/>
      <c r="N185" s="360"/>
      <c r="O185" s="190"/>
      <c r="P185" s="358"/>
      <c r="Q185" s="360"/>
      <c r="R185" s="190"/>
      <c r="S185" s="168">
        <f>VLOOKUP(CONCATENATE("23",Konfiguration_Configuration!$N$6),Daten!$B$5:$E$99,3,FALSE)</f>
        <v>0.6</v>
      </c>
      <c r="T185" s="362"/>
      <c r="U185" s="358"/>
      <c r="V185" s="360"/>
      <c r="W185" s="190"/>
      <c r="X185" s="358"/>
      <c r="Y185" s="360"/>
      <c r="Z185" s="190"/>
      <c r="AA185" s="358"/>
      <c r="AB185" s="360"/>
      <c r="AC185" s="190"/>
      <c r="AD185" s="358"/>
      <c r="AE185" s="360"/>
      <c r="AF185" s="190"/>
      <c r="AG185" s="358"/>
      <c r="AH185" s="360"/>
      <c r="AI185" s="190"/>
      <c r="AJ185" s="168">
        <f>VLOOKUP(CONCATENATE("23",Konfiguration_Configuration!$N$6),Daten!$B$5:$E$99,3,FALSE)</f>
        <v>0.6</v>
      </c>
      <c r="AK185" s="362"/>
      <c r="AL185" s="358"/>
      <c r="AM185" s="360"/>
      <c r="AN185" s="190"/>
      <c r="AO185" s="358"/>
      <c r="AP185" s="360"/>
      <c r="AQ185" s="190"/>
      <c r="AR185" s="358"/>
      <c r="AS185" s="360"/>
      <c r="AT185" s="190"/>
      <c r="AU185" s="358"/>
      <c r="AV185" s="360"/>
      <c r="AW185" s="190"/>
      <c r="AX185" s="358"/>
      <c r="AY185" s="360"/>
      <c r="AZ185" s="190"/>
      <c r="BA185" s="168">
        <f>VLOOKUP(CONCATENATE("23",Konfiguration_Configuration!$N$6),Daten!$B$5:$E$99,3,FALSE)</f>
        <v>0.6</v>
      </c>
      <c r="BB185" s="362"/>
      <c r="BC185" s="358"/>
      <c r="BD185" s="360"/>
      <c r="BE185" s="190"/>
      <c r="BF185" s="358"/>
      <c r="BG185" s="360"/>
      <c r="BH185" s="190"/>
      <c r="BI185" s="358"/>
      <c r="BJ185" s="360"/>
      <c r="BK185" s="190"/>
      <c r="BL185" s="358"/>
      <c r="BM185" s="360"/>
      <c r="BN185" s="190"/>
      <c r="BO185" s="358"/>
      <c r="BP185" s="360"/>
      <c r="BQ185" s="190"/>
    </row>
    <row r="186" spans="1:72" ht="32.1" customHeight="1">
      <c r="A186" s="210" t="str">
        <f>VLOOKUP(CONCATENATE("23",Konfiguration_Configuration!$N$6),Daten!$B$5:$E$99,2,FALSE)</f>
        <v>½ Kreisschritt</v>
      </c>
      <c r="B186" s="169"/>
      <c r="C186" s="363"/>
      <c r="D186" s="359"/>
      <c r="E186" s="361"/>
      <c r="F186" s="187" t="str">
        <f>IF(E185="","",IF(B141=6,MAX(E185,E186,#REF!)/10*$B$49,MAX(E185,E186,#REF!)/10*F$49+F$49))</f>
        <v/>
      </c>
      <c r="G186" s="359"/>
      <c r="H186" s="361"/>
      <c r="I186" s="187" t="str">
        <f>IF(H185="","",IF(B141=6,MAX(H185,H186,#REF!)/10*$B$49,MAX(H185,H186,#REF!)/10*I$49+I$49))</f>
        <v/>
      </c>
      <c r="J186" s="359"/>
      <c r="K186" s="361"/>
      <c r="L186" s="187" t="str">
        <f>IF(K185="","",IF(B141=6,MAX(K185,K186,#REF!)/10*$B$49,MAX(K185,K186,#REF!)/10*L$49+L$49))</f>
        <v/>
      </c>
      <c r="M186" s="359"/>
      <c r="N186" s="361"/>
      <c r="O186" s="187" t="str">
        <f>IF(N185="","",IF(B141=6,MAX(N185,N186,#REF!)/10*$B$49,MAX(N185,N186,#REF!)/10*O$49+O$49))</f>
        <v/>
      </c>
      <c r="P186" s="359"/>
      <c r="Q186" s="361"/>
      <c r="R186" s="187" t="str">
        <f>IF(Q185="","",IF(B141=6,MAX(Q185,Q186,#REF!)/10*$B$49,MAX(Q185,Q186,#REF!)/10*R$49+R$49))</f>
        <v/>
      </c>
      <c r="S186" s="169"/>
      <c r="T186" s="363"/>
      <c r="U186" s="359"/>
      <c r="V186" s="361"/>
      <c r="W186" s="187" t="str">
        <f>IF(V185="","",IF(S141=6,MAX(V185,V186,#REF!)/10*$B$49,MAX(V185,V186,#REF!)/10*W$49+W$49))</f>
        <v/>
      </c>
      <c r="X186" s="359"/>
      <c r="Y186" s="361"/>
      <c r="Z186" s="187" t="str">
        <f>IF(Y185="","",IF(S141=6,MAX(Y185,Y186,#REF!)/10*$B$49,MAX(Y185,Y186,#REF!)/10*Z$49+Z$49))</f>
        <v/>
      </c>
      <c r="AA186" s="359"/>
      <c r="AB186" s="361"/>
      <c r="AC186" s="187" t="str">
        <f>IF(AB185="","",IF(S141=6,MAX(AB185,AB186,#REF!)/10*$B$49,MAX(AB185,AB186,#REF!)/10*AC$49+AC$49))</f>
        <v/>
      </c>
      <c r="AD186" s="359"/>
      <c r="AE186" s="361"/>
      <c r="AF186" s="187" t="str">
        <f>IF(AE185="","",IF(S141=6,MAX(AE185,AE186,#REF!)/10*$B$49,MAX(AE185,AE186,#REF!)/10*AF$49+AF$49))</f>
        <v/>
      </c>
      <c r="AG186" s="359"/>
      <c r="AH186" s="361"/>
      <c r="AI186" s="187" t="str">
        <f>IF(AH185="","",IF(S141=6,MAX(AH185,AH186,#REF!)/10*$B$49,MAX(AH185,AH186,#REF!)/10*AI$49+AI$49))</f>
        <v/>
      </c>
      <c r="AJ186" s="169"/>
      <c r="AK186" s="363"/>
      <c r="AL186" s="359"/>
      <c r="AM186" s="361"/>
      <c r="AN186" s="187" t="str">
        <f>IF(AM185="","",IF(AJ141=6,MAX(AM185,AM186,#REF!)/10*$B$49,MAX(AM185,AM186,#REF!)/10*AN$49+AN$49))</f>
        <v/>
      </c>
      <c r="AO186" s="359"/>
      <c r="AP186" s="361"/>
      <c r="AQ186" s="187" t="str">
        <f>IF(AP185="","",IF(AJ141=6,MAX(AP185,AP186,#REF!)/10*$B$49,MAX(AP185,AP186,#REF!)/10*AQ$49+AQ$49))</f>
        <v/>
      </c>
      <c r="AR186" s="359"/>
      <c r="AS186" s="361"/>
      <c r="AT186" s="187" t="str">
        <f>IF(AS185="","",IF(AJ141=6,MAX(AS185,AS186,#REF!)/10*$B$49,MAX(AS185,AS186,#REF!)/10*AT$49+AT$49))</f>
        <v/>
      </c>
      <c r="AU186" s="359"/>
      <c r="AV186" s="361"/>
      <c r="AW186" s="187" t="str">
        <f>IF(AV185="","",IF(AJ141=6,MAX(AV185,AV186,#REF!)/10*$B$49,MAX(AV185,AV186,#REF!)/10*AW$49+AW$49))</f>
        <v/>
      </c>
      <c r="AX186" s="359"/>
      <c r="AY186" s="361"/>
      <c r="AZ186" s="187" t="str">
        <f>IF(AY185="","",IF(AJ141=6,MAX(AY185,AY186,#REF!)/10*$B$49,MAX(AY185,AY186,#REF!)/10*AZ$49+AZ$49))</f>
        <v/>
      </c>
      <c r="BA186" s="169"/>
      <c r="BB186" s="363"/>
      <c r="BC186" s="359"/>
      <c r="BD186" s="361"/>
      <c r="BE186" s="187" t="str">
        <f>IF(BD185="","",IF(BA141=6,MAX(BD185,BD186,#REF!)/10*$B$49,MAX(BD185,BD186,#REF!)/10*BE$49+BE$49))</f>
        <v/>
      </c>
      <c r="BF186" s="359"/>
      <c r="BG186" s="361"/>
      <c r="BH186" s="187" t="str">
        <f>IF(BG185="","",IF(BA141=6,MAX(BG185,BG186,#REF!)/10*$B$49,MAX(BG185,BG186,#REF!)/10*BH$49+BH$49))</f>
        <v/>
      </c>
      <c r="BI186" s="359"/>
      <c r="BJ186" s="361"/>
      <c r="BK186" s="187" t="str">
        <f>IF(BJ185="","",IF(BA141=6,MAX(BJ185,BJ186,#REF!)/10*$B$49,MAX(BJ185,BJ186,#REF!)/10*BK$49+BK$49))</f>
        <v/>
      </c>
      <c r="BL186" s="359"/>
      <c r="BM186" s="361"/>
      <c r="BN186" s="187" t="str">
        <f>IF(BM185="","",IF(BA141=6,MAX(BM185,BM186,#REF!)/10*$B$49,MAX(BM185,BM186,#REF!)/10*BN$49+BN$49))</f>
        <v/>
      </c>
      <c r="BO186" s="359"/>
      <c r="BP186" s="361"/>
      <c r="BQ186" s="187" t="str">
        <f>IF(BP185="","",IF(BA141=6,MAX(BP185,BP186,#REF!)/10*$B$49,MAX(BP185,BP186,#REF!)/10*BQ$49+BQ$49))</f>
        <v/>
      </c>
    </row>
    <row r="187" spans="1:72" ht="32.1" customHeight="1">
      <c r="A187" s="136" t="str">
        <f>CONCATENATE(LEFT(A$44,LEN(A$44)-6)," 3:")</f>
        <v>Vorgeschriebene Schritte 3:</v>
      </c>
      <c r="B187" s="168">
        <f>VLOOKUP(CONCATENATE("24",Konfiguration_Configuration!$N$6),Daten!$B$5:$E$99,3,FALSE)</f>
        <v>0.6</v>
      </c>
      <c r="C187" s="362"/>
      <c r="D187" s="358"/>
      <c r="E187" s="360"/>
      <c r="F187" s="190"/>
      <c r="G187" s="358"/>
      <c r="H187" s="360"/>
      <c r="I187" s="190"/>
      <c r="J187" s="358"/>
      <c r="K187" s="360"/>
      <c r="L187" s="190"/>
      <c r="M187" s="358"/>
      <c r="N187" s="360"/>
      <c r="O187" s="190"/>
      <c r="P187" s="358"/>
      <c r="Q187" s="360"/>
      <c r="R187" s="190"/>
      <c r="S187" s="168">
        <f>VLOOKUP(CONCATENATE("24",Konfiguration_Configuration!$N$6),Daten!$B$5:$E$99,3,FALSE)</f>
        <v>0.6</v>
      </c>
      <c r="T187" s="362"/>
      <c r="U187" s="358"/>
      <c r="V187" s="360"/>
      <c r="W187" s="190"/>
      <c r="X187" s="358"/>
      <c r="Y187" s="360"/>
      <c r="Z187" s="190"/>
      <c r="AA187" s="358"/>
      <c r="AB187" s="360"/>
      <c r="AC187" s="190"/>
      <c r="AD187" s="358"/>
      <c r="AE187" s="360"/>
      <c r="AF187" s="190"/>
      <c r="AG187" s="358"/>
      <c r="AH187" s="360"/>
      <c r="AI187" s="190"/>
      <c r="AJ187" s="168">
        <f>VLOOKUP(CONCATENATE("24",Konfiguration_Configuration!$N$6),Daten!$B$5:$E$99,3,FALSE)</f>
        <v>0.6</v>
      </c>
      <c r="AK187" s="362"/>
      <c r="AL187" s="358"/>
      <c r="AM187" s="360"/>
      <c r="AN187" s="190"/>
      <c r="AO187" s="358"/>
      <c r="AP187" s="360"/>
      <c r="AQ187" s="190"/>
      <c r="AR187" s="358"/>
      <c r="AS187" s="360"/>
      <c r="AT187" s="190"/>
      <c r="AU187" s="358"/>
      <c r="AV187" s="360"/>
      <c r="AW187" s="190"/>
      <c r="AX187" s="358"/>
      <c r="AY187" s="360"/>
      <c r="AZ187" s="190"/>
      <c r="BA187" s="168">
        <f>VLOOKUP(CONCATENATE("24",Konfiguration_Configuration!$N$6),Daten!$B$5:$E$99,3,FALSE)</f>
        <v>0.6</v>
      </c>
      <c r="BB187" s="362"/>
      <c r="BC187" s="358"/>
      <c r="BD187" s="360"/>
      <c r="BE187" s="190"/>
      <c r="BF187" s="358"/>
      <c r="BG187" s="360"/>
      <c r="BH187" s="190"/>
      <c r="BI187" s="358"/>
      <c r="BJ187" s="360"/>
      <c r="BK187" s="190"/>
      <c r="BL187" s="358"/>
      <c r="BM187" s="360"/>
      <c r="BN187" s="190"/>
      <c r="BO187" s="358"/>
      <c r="BP187" s="360"/>
      <c r="BQ187" s="190"/>
    </row>
    <row r="188" spans="1:72" ht="32.1" customHeight="1">
      <c r="A188" s="210" t="str">
        <f>VLOOKUP(CONCATENATE("24",Konfiguration_Configuration!$N$6),Daten!$B$5:$E$99,2,FALSE)</f>
        <v>½ Längsschritt</v>
      </c>
      <c r="B188" s="169"/>
      <c r="C188" s="363"/>
      <c r="D188" s="359"/>
      <c r="E188" s="361"/>
      <c r="F188" s="187" t="str">
        <f>IF(E187="","",IF(B144=6,MAX(E187,E188,#REF!)/10*$B$49,MAX(E187,E188,#REF!)/10*F$49+F$49))</f>
        <v/>
      </c>
      <c r="G188" s="359"/>
      <c r="H188" s="361"/>
      <c r="I188" s="187" t="str">
        <f>IF(H187="","",IF(B144=6,MAX(H187,H188,#REF!)/10*$B$49,MAX(H187,H188,#REF!)/10*I$49+I$49))</f>
        <v/>
      </c>
      <c r="J188" s="359"/>
      <c r="K188" s="361"/>
      <c r="L188" s="187" t="str">
        <f>IF(K187="","",IF(B144=6,MAX(K187,K188,#REF!)/10*$B$49,MAX(K187,K188,#REF!)/10*L$49+L$49))</f>
        <v/>
      </c>
      <c r="M188" s="359"/>
      <c r="N188" s="361"/>
      <c r="O188" s="187" t="str">
        <f>IF(N187="","",IF(B144=6,MAX(N187,N188,#REF!)/10*$B$49,MAX(N187,N188,#REF!)/10*O$49+O$49))</f>
        <v/>
      </c>
      <c r="P188" s="359"/>
      <c r="Q188" s="361"/>
      <c r="R188" s="187" t="str">
        <f>IF(Q187="","",IF(B144=6,MAX(Q187,Q188,#REF!)/10*$B$49,MAX(Q187,Q188,#REF!)/10*R$49+R$49))</f>
        <v/>
      </c>
      <c r="S188" s="169"/>
      <c r="T188" s="363"/>
      <c r="U188" s="359"/>
      <c r="V188" s="361"/>
      <c r="W188" s="187" t="str">
        <f>IF(V187="","",IF(S144=6,MAX(V187,V188,#REF!)/10*$B$49,MAX(V187,V188,#REF!)/10*W$49+W$49))</f>
        <v/>
      </c>
      <c r="X188" s="359"/>
      <c r="Y188" s="361"/>
      <c r="Z188" s="187" t="str">
        <f>IF(Y187="","",IF(S144=6,MAX(Y187,Y188,#REF!)/10*$B$49,MAX(Y187,Y188,#REF!)/10*Z$49+Z$49))</f>
        <v/>
      </c>
      <c r="AA188" s="359"/>
      <c r="AB188" s="361"/>
      <c r="AC188" s="187" t="str">
        <f>IF(AB187="","",IF(S144=6,MAX(AB187,AB188,#REF!)/10*$B$49,MAX(AB187,AB188,#REF!)/10*AC$49+AC$49))</f>
        <v/>
      </c>
      <c r="AD188" s="359"/>
      <c r="AE188" s="361"/>
      <c r="AF188" s="187" t="str">
        <f>IF(AE187="","",IF(S144=6,MAX(AE187,AE188,#REF!)/10*$B$49,MAX(AE187,AE188,#REF!)/10*AF$49+AF$49))</f>
        <v/>
      </c>
      <c r="AG188" s="359"/>
      <c r="AH188" s="361"/>
      <c r="AI188" s="187" t="str">
        <f>IF(AH187="","",IF(S144=6,MAX(AH187,AH188,#REF!)/10*$B$49,MAX(AH187,AH188,#REF!)/10*AI$49+AI$49))</f>
        <v/>
      </c>
      <c r="AJ188" s="169"/>
      <c r="AK188" s="363"/>
      <c r="AL188" s="359"/>
      <c r="AM188" s="361"/>
      <c r="AN188" s="187" t="str">
        <f>IF(AM187="","",IF(AJ144=6,MAX(AM187,AM188,#REF!)/10*$B$49,MAX(AM187,AM188,#REF!)/10*AN$49+AN$49))</f>
        <v/>
      </c>
      <c r="AO188" s="359"/>
      <c r="AP188" s="361"/>
      <c r="AQ188" s="187" t="str">
        <f>IF(AP187="","",IF(AJ144=6,MAX(AP187,AP188,#REF!)/10*$B$49,MAX(AP187,AP188,#REF!)/10*AQ$49+AQ$49))</f>
        <v/>
      </c>
      <c r="AR188" s="359"/>
      <c r="AS188" s="361"/>
      <c r="AT188" s="187" t="str">
        <f>IF(AS187="","",IF(AJ144=6,MAX(AS187,AS188,#REF!)/10*$B$49,MAX(AS187,AS188,#REF!)/10*AT$49+AT$49))</f>
        <v/>
      </c>
      <c r="AU188" s="359"/>
      <c r="AV188" s="361"/>
      <c r="AW188" s="187" t="str">
        <f>IF(AV187="","",IF(AJ144=6,MAX(AV187,AV188,#REF!)/10*$B$49,MAX(AV187,AV188,#REF!)/10*AW$49+AW$49))</f>
        <v/>
      </c>
      <c r="AX188" s="359"/>
      <c r="AY188" s="361"/>
      <c r="AZ188" s="187" t="str">
        <f>IF(AY187="","",IF(AJ144=6,MAX(AY187,AY188,#REF!)/10*$B$49,MAX(AY187,AY188,#REF!)/10*AZ$49+AZ$49))</f>
        <v/>
      </c>
      <c r="BA188" s="169"/>
      <c r="BB188" s="363"/>
      <c r="BC188" s="359"/>
      <c r="BD188" s="361"/>
      <c r="BE188" s="187" t="str">
        <f>IF(BD187="","",IF(BA144=6,MAX(BD187,BD188,#REF!)/10*$B$49,MAX(BD187,BD188,#REF!)/10*BE$49+BE$49))</f>
        <v/>
      </c>
      <c r="BF188" s="359"/>
      <c r="BG188" s="361"/>
      <c r="BH188" s="187" t="str">
        <f>IF(BG187="","",IF(BA144=6,MAX(BG187,BG188,#REF!)/10*$B$49,MAX(BG187,BG188,#REF!)/10*BH$49+BH$49))</f>
        <v/>
      </c>
      <c r="BI188" s="359"/>
      <c r="BJ188" s="361"/>
      <c r="BK188" s="187" t="str">
        <f>IF(BJ187="","",IF(BA144=6,MAX(BJ187,BJ188,#REF!)/10*$B$49,MAX(BJ187,BJ188,#REF!)/10*BK$49+BK$49))</f>
        <v/>
      </c>
      <c r="BL188" s="359"/>
      <c r="BM188" s="361"/>
      <c r="BN188" s="187" t="str">
        <f>IF(BM187="","",IF(BA144=6,MAX(BM187,BM188,#REF!)/10*$B$49,MAX(BM187,BM188,#REF!)/10*BN$49+BN$49))</f>
        <v/>
      </c>
      <c r="BO188" s="359"/>
      <c r="BP188" s="361"/>
      <c r="BQ188" s="187" t="str">
        <f>IF(BP187="","",IF(BA144=6,MAX(BP187,BP188,#REF!)/10*$B$49,MAX(BP187,BP188,#REF!)/10*BQ$49+BQ$49))</f>
        <v/>
      </c>
    </row>
    <row r="189" spans="1:72" ht="32.1" customHeight="1">
      <c r="A189" s="222" t="str">
        <f>VLOOKUP(CONCATENATE("11",Konfiguration_Configuration!N$6),Daten!B$5:C$99,2,FALSE)</f>
        <v>Total pro Preisrichter</v>
      </c>
      <c r="B189" s="220"/>
      <c r="C189" s="221"/>
      <c r="D189" s="219"/>
      <c r="E189" s="220"/>
      <c r="F189" s="223"/>
      <c r="G189" s="220"/>
      <c r="H189" s="220"/>
      <c r="I189" s="223"/>
      <c r="J189" s="220"/>
      <c r="K189" s="220"/>
      <c r="L189" s="223"/>
      <c r="M189" s="220"/>
      <c r="N189" s="220"/>
      <c r="O189" s="223"/>
      <c r="P189" s="220"/>
      <c r="Q189" s="220"/>
      <c r="R189" s="223"/>
      <c r="S189" s="220"/>
      <c r="T189" s="221"/>
      <c r="U189" s="135"/>
      <c r="V189" s="186"/>
      <c r="W189" s="212"/>
      <c r="X189" s="135"/>
      <c r="Y189" s="186"/>
      <c r="Z189" s="212"/>
      <c r="AA189" s="135"/>
      <c r="AB189" s="186"/>
      <c r="AC189" s="212"/>
      <c r="AD189" s="135"/>
      <c r="AE189" s="186"/>
      <c r="AF189" s="212"/>
      <c r="AG189" s="135"/>
      <c r="AH189" s="186"/>
      <c r="AI189" s="212"/>
      <c r="AJ189" s="220"/>
      <c r="AK189" s="221"/>
      <c r="AL189" s="135"/>
      <c r="AM189" s="186"/>
      <c r="AN189" s="212"/>
      <c r="AO189" s="135"/>
      <c r="AP189" s="186"/>
      <c r="AQ189" s="212"/>
      <c r="AR189" s="135"/>
      <c r="AS189" s="186"/>
      <c r="AT189" s="212"/>
      <c r="AU189" s="135"/>
      <c r="AV189" s="186"/>
      <c r="AW189" s="212"/>
      <c r="AX189" s="135"/>
      <c r="AY189" s="186"/>
      <c r="AZ189" s="212"/>
      <c r="BA189" s="220"/>
      <c r="BB189" s="221"/>
      <c r="BC189" s="135"/>
      <c r="BD189" s="186"/>
      <c r="BE189" s="212"/>
      <c r="BF189" s="135"/>
      <c r="BG189" s="186"/>
      <c r="BH189" s="212"/>
      <c r="BI189" s="135"/>
      <c r="BJ189" s="186"/>
      <c r="BK189" s="212"/>
      <c r="BL189" s="135"/>
      <c r="BM189" s="186"/>
      <c r="BN189" s="212"/>
      <c r="BO189" s="135"/>
      <c r="BP189" s="186"/>
      <c r="BQ189" s="212"/>
    </row>
    <row r="190" spans="1:72" ht="32.1" hidden="1" customHeight="1">
      <c r="A190" s="140"/>
      <c r="B190" s="141"/>
      <c r="C190" s="142"/>
      <c r="D190" s="192" t="s">
        <v>246</v>
      </c>
      <c r="E190" s="143"/>
      <c r="F190" s="187"/>
      <c r="G190" s="192" t="s">
        <v>246</v>
      </c>
      <c r="H190" s="143"/>
      <c r="I190" s="187"/>
      <c r="J190" s="192" t="s">
        <v>246</v>
      </c>
      <c r="K190" s="143"/>
      <c r="L190" s="187"/>
      <c r="M190" s="192" t="s">
        <v>246</v>
      </c>
      <c r="N190" s="143"/>
      <c r="O190" s="187"/>
      <c r="P190" s="192" t="s">
        <v>246</v>
      </c>
      <c r="Q190" s="143"/>
      <c r="R190" s="187"/>
      <c r="S190" s="141"/>
      <c r="T190" s="142"/>
      <c r="U190" s="192" t="s">
        <v>246</v>
      </c>
      <c r="V190" s="143"/>
      <c r="W190" s="187"/>
      <c r="X190" s="192" t="s">
        <v>246</v>
      </c>
      <c r="Y190" s="143"/>
      <c r="Z190" s="187"/>
      <c r="AA190" s="192" t="s">
        <v>246</v>
      </c>
      <c r="AB190" s="143"/>
      <c r="AC190" s="187"/>
      <c r="AD190" s="192" t="s">
        <v>246</v>
      </c>
      <c r="AE190" s="143"/>
      <c r="AF190" s="187"/>
      <c r="AG190" s="192" t="s">
        <v>246</v>
      </c>
      <c r="AH190" s="143"/>
      <c r="AI190" s="187"/>
      <c r="AJ190" s="141"/>
      <c r="AK190" s="142"/>
      <c r="AL190" s="192" t="s">
        <v>246</v>
      </c>
      <c r="AM190" s="143"/>
      <c r="AN190" s="187"/>
      <c r="AO190" s="192" t="s">
        <v>246</v>
      </c>
      <c r="AP190" s="143"/>
      <c r="AQ190" s="187"/>
      <c r="AR190" s="192" t="s">
        <v>246</v>
      </c>
      <c r="AS190" s="143"/>
      <c r="AT190" s="187"/>
      <c r="AU190" s="192" t="s">
        <v>246</v>
      </c>
      <c r="AV190" s="143"/>
      <c r="AW190" s="187"/>
      <c r="AX190" s="192" t="s">
        <v>246</v>
      </c>
      <c r="AY190" s="143"/>
      <c r="AZ190" s="187"/>
      <c r="BA190" s="141"/>
      <c r="BB190" s="142"/>
      <c r="BC190" s="192" t="s">
        <v>246</v>
      </c>
      <c r="BD190" s="143"/>
      <c r="BE190" s="187"/>
      <c r="BF190" s="192" t="s">
        <v>246</v>
      </c>
      <c r="BG190" s="143"/>
      <c r="BH190" s="187"/>
      <c r="BI190" s="192" t="s">
        <v>246</v>
      </c>
      <c r="BJ190" s="143"/>
      <c r="BK190" s="187"/>
      <c r="BL190" s="192" t="s">
        <v>246</v>
      </c>
      <c r="BM190" s="143"/>
      <c r="BN190" s="187"/>
      <c r="BO190" s="192" t="s">
        <v>246</v>
      </c>
      <c r="BP190" s="143"/>
      <c r="BQ190" s="187"/>
      <c r="BR190" s="144"/>
      <c r="BT190" s="58"/>
    </row>
    <row r="191" spans="1:72" ht="32.1" hidden="1" customHeight="1">
      <c r="A191" s="140"/>
      <c r="B191" s="141"/>
      <c r="C191" s="142"/>
      <c r="D191" s="192" t="s">
        <v>247</v>
      </c>
      <c r="E191" s="143"/>
      <c r="F191" s="187"/>
      <c r="G191" s="192" t="s">
        <v>247</v>
      </c>
      <c r="H191" s="143"/>
      <c r="I191" s="187"/>
      <c r="J191" s="192" t="s">
        <v>247</v>
      </c>
      <c r="K191" s="143"/>
      <c r="L191" s="187"/>
      <c r="M191" s="192" t="s">
        <v>247</v>
      </c>
      <c r="N191" s="143"/>
      <c r="O191" s="187"/>
      <c r="P191" s="192" t="s">
        <v>247</v>
      </c>
      <c r="Q191" s="143"/>
      <c r="R191" s="187"/>
      <c r="S191" s="141"/>
      <c r="T191" s="142"/>
      <c r="U191" s="192" t="s">
        <v>247</v>
      </c>
      <c r="V191" s="143"/>
      <c r="W191" s="187"/>
      <c r="X191" s="192" t="s">
        <v>247</v>
      </c>
      <c r="Y191" s="143"/>
      <c r="Z191" s="187"/>
      <c r="AA191" s="192" t="s">
        <v>247</v>
      </c>
      <c r="AB191" s="143"/>
      <c r="AC191" s="187"/>
      <c r="AD191" s="192" t="s">
        <v>247</v>
      </c>
      <c r="AE191" s="143"/>
      <c r="AF191" s="187"/>
      <c r="AG191" s="192" t="s">
        <v>247</v>
      </c>
      <c r="AH191" s="143"/>
      <c r="AI191" s="187"/>
      <c r="AJ191" s="141"/>
      <c r="AK191" s="142"/>
      <c r="AL191" s="192" t="s">
        <v>247</v>
      </c>
      <c r="AM191" s="143"/>
      <c r="AN191" s="187"/>
      <c r="AO191" s="192" t="s">
        <v>247</v>
      </c>
      <c r="AP191" s="143"/>
      <c r="AQ191" s="187"/>
      <c r="AR191" s="192" t="s">
        <v>247</v>
      </c>
      <c r="AS191" s="143"/>
      <c r="AT191" s="187"/>
      <c r="AU191" s="192" t="s">
        <v>247</v>
      </c>
      <c r="AV191" s="143"/>
      <c r="AW191" s="187"/>
      <c r="AX191" s="192" t="s">
        <v>247</v>
      </c>
      <c r="AY191" s="143"/>
      <c r="AZ191" s="187"/>
      <c r="BA191" s="141"/>
      <c r="BB191" s="142"/>
      <c r="BC191" s="192" t="s">
        <v>247</v>
      </c>
      <c r="BD191" s="143"/>
      <c r="BE191" s="187"/>
      <c r="BF191" s="192" t="s">
        <v>247</v>
      </c>
      <c r="BG191" s="143"/>
      <c r="BH191" s="187"/>
      <c r="BI191" s="192" t="s">
        <v>247</v>
      </c>
      <c r="BJ191" s="143"/>
      <c r="BK191" s="187"/>
      <c r="BL191" s="192" t="s">
        <v>247</v>
      </c>
      <c r="BM191" s="143"/>
      <c r="BN191" s="187"/>
      <c r="BO191" s="192" t="s">
        <v>247</v>
      </c>
      <c r="BP191" s="143"/>
      <c r="BQ191" s="187"/>
      <c r="BR191" s="144"/>
      <c r="BT191" s="58"/>
    </row>
    <row r="192" spans="1:72" ht="32.1" customHeight="1">
      <c r="A192" s="366" t="str">
        <f>VLOOKUP(CONCATENATE("31",Konfiguration_Configuration!N$6),Daten!B$5:C$99,2,FALSE)</f>
        <v>Program Components (PCS)</v>
      </c>
      <c r="B192" s="367"/>
      <c r="C192" s="368"/>
      <c r="D192" s="226"/>
      <c r="E192" s="175"/>
      <c r="F192" s="145"/>
      <c r="G192" s="226"/>
      <c r="H192" s="175"/>
      <c r="I192" s="145"/>
      <c r="J192" s="226"/>
      <c r="K192" s="175"/>
      <c r="L192" s="145"/>
      <c r="M192" s="226"/>
      <c r="N192" s="175"/>
      <c r="O192" s="145"/>
      <c r="P192" s="226"/>
      <c r="Q192" s="175"/>
      <c r="R192" s="245"/>
      <c r="S192" s="246"/>
      <c r="T192" s="247"/>
      <c r="U192" s="226"/>
      <c r="V192" s="175"/>
      <c r="W192" s="145"/>
      <c r="X192" s="226"/>
      <c r="Y192" s="175"/>
      <c r="Z192" s="145"/>
      <c r="AA192" s="226"/>
      <c r="AB192" s="175"/>
      <c r="AC192" s="145"/>
      <c r="AD192" s="226"/>
      <c r="AE192" s="175"/>
      <c r="AF192" s="145"/>
      <c r="AG192" s="226"/>
      <c r="AH192" s="175"/>
      <c r="AI192" s="145"/>
      <c r="AJ192" s="246"/>
      <c r="AK192" s="247"/>
      <c r="AL192" s="242" t="str">
        <f>IF(Konfiguration_Configuration!$B$2=Konfiguration_Configuration!$L$1,'Notizenblatt_Feuille de juge'!AL190,'Notizenblatt_Feuille de juge'!AL191)</f>
        <v xml:space="preserve">mind 
1 Sprung  
1 Schritt  </v>
      </c>
      <c r="AM192" s="175"/>
      <c r="AN192" s="145"/>
      <c r="AO192" s="242" t="str">
        <f>IF(Konfiguration_Configuration!$B$2=Konfiguration_Configuration!$L$1,'Notizenblatt_Feuille de juge'!AO190,'Notizenblatt_Feuille de juge'!AO191)</f>
        <v xml:space="preserve">mind 
1 Sprung  
1 Schritt  </v>
      </c>
      <c r="AP192" s="175"/>
      <c r="AQ192" s="145"/>
      <c r="AR192" s="242" t="str">
        <f>IF(Konfiguration_Configuration!$B$2=Konfiguration_Configuration!$L$1,'Notizenblatt_Feuille de juge'!AR190,'Notizenblatt_Feuille de juge'!AR191)</f>
        <v xml:space="preserve">mind 
1 Sprung  
1 Schritt  </v>
      </c>
      <c r="AS192" s="175"/>
      <c r="AT192" s="145"/>
      <c r="AU192" s="242" t="str">
        <f>IF(Konfiguration_Configuration!$B$2=Konfiguration_Configuration!$L$1,'Notizenblatt_Feuille de juge'!AU190,'Notizenblatt_Feuille de juge'!AU191)</f>
        <v xml:space="preserve">mind 
1 Sprung  
1 Schritt  </v>
      </c>
      <c r="AV192" s="175"/>
      <c r="AW192" s="145"/>
      <c r="AX192" s="242" t="str">
        <f>IF(Konfiguration_Configuration!$B$2=Konfiguration_Configuration!$L$1,'Notizenblatt_Feuille de juge'!AX190,'Notizenblatt_Feuille de juge'!AX191)</f>
        <v xml:space="preserve">mind 
1 Sprung  
1 Schritt  </v>
      </c>
      <c r="AY192" s="175"/>
      <c r="AZ192" s="145"/>
      <c r="BA192" s="246"/>
      <c r="BB192" s="247"/>
      <c r="BC192" s="242" t="str">
        <f>IF(Konfiguration_Configuration!$B$2=Konfiguration_Configuration!$L$1,'Notizenblatt_Feuille de juge'!BC190,'Notizenblatt_Feuille de juge'!BC191)</f>
        <v xml:space="preserve">mind 
1 Sprung  
1 Schritt  </v>
      </c>
      <c r="BD192" s="175"/>
      <c r="BE192" s="145"/>
      <c r="BF192" s="242" t="str">
        <f>IF(Konfiguration_Configuration!$B$2=Konfiguration_Configuration!$L$1,'Notizenblatt_Feuille de juge'!BF190,'Notizenblatt_Feuille de juge'!BF191)</f>
        <v xml:space="preserve">mind 
1 Sprung  
1 Schritt  </v>
      </c>
      <c r="BG192" s="175"/>
      <c r="BH192" s="145"/>
      <c r="BI192" s="242" t="str">
        <f>IF(Konfiguration_Configuration!$B$2=Konfiguration_Configuration!$L$1,'Notizenblatt_Feuille de juge'!BI190,'Notizenblatt_Feuille de juge'!BI191)</f>
        <v xml:space="preserve">mind 
1 Sprung  
1 Schritt  </v>
      </c>
      <c r="BJ192" s="175"/>
      <c r="BK192" s="145"/>
      <c r="BL192" s="242" t="str">
        <f>IF(Konfiguration_Configuration!$B$2=Konfiguration_Configuration!$L$1,'Notizenblatt_Feuille de juge'!BL190,'Notizenblatt_Feuille de juge'!BL191)</f>
        <v xml:space="preserve">mind 
1 Sprung  
1 Schritt  </v>
      </c>
      <c r="BM192" s="175"/>
      <c r="BN192" s="145"/>
      <c r="BO192" s="242" t="str">
        <f>IF(Konfiguration_Configuration!$B$2=Konfiguration_Configuration!$L$1,'Notizenblatt_Feuille de juge'!BO190,'Notizenblatt_Feuille de juge'!BO191)</f>
        <v xml:space="preserve">mind 
1 Sprung  
1 Schritt  </v>
      </c>
      <c r="BP192" s="175"/>
      <c r="BQ192" s="145"/>
      <c r="BT192" s="58"/>
    </row>
    <row r="193" spans="1:72" ht="32.1" customHeight="1">
      <c r="A193" s="227" t="str">
        <f>VLOOKUP(CONCATENATE("32",Konfiguration_Configuration!N$6),Daten!B$5:C$99,2,FALSE)</f>
        <v>Presentation</v>
      </c>
      <c r="B193" s="176"/>
      <c r="C193" s="176"/>
      <c r="D193" s="225"/>
      <c r="E193" s="175"/>
      <c r="F193" s="145"/>
      <c r="G193" s="225"/>
      <c r="H193" s="175"/>
      <c r="I193" s="145"/>
      <c r="J193" s="225"/>
      <c r="K193" s="175"/>
      <c r="L193" s="145"/>
      <c r="M193" s="225"/>
      <c r="N193" s="175"/>
      <c r="O193" s="145"/>
      <c r="P193" s="225"/>
      <c r="Q193" s="175"/>
      <c r="R193" s="145"/>
      <c r="S193" s="176"/>
      <c r="T193" s="176"/>
      <c r="U193" s="225"/>
      <c r="V193" s="175"/>
      <c r="W193" s="145"/>
      <c r="X193" s="225"/>
      <c r="Y193" s="175"/>
      <c r="Z193" s="145"/>
      <c r="AA193" s="225"/>
      <c r="AB193" s="175"/>
      <c r="AC193" s="145"/>
      <c r="AD193" s="225"/>
      <c r="AE193" s="175"/>
      <c r="AF193" s="145"/>
      <c r="AG193" s="225"/>
      <c r="AH193" s="175"/>
      <c r="AI193" s="145"/>
      <c r="AJ193" s="176"/>
      <c r="AK193" s="176"/>
      <c r="AL193" s="243"/>
      <c r="AM193" s="175"/>
      <c r="AN193" s="145"/>
      <c r="AO193" s="243"/>
      <c r="AP193" s="175"/>
      <c r="AQ193" s="145"/>
      <c r="AR193" s="243"/>
      <c r="AS193" s="175"/>
      <c r="AT193" s="145"/>
      <c r="AU193" s="243"/>
      <c r="AV193" s="175"/>
      <c r="AW193" s="145"/>
      <c r="AX193" s="243"/>
      <c r="AY193" s="175"/>
      <c r="AZ193" s="145"/>
      <c r="BA193" s="176"/>
      <c r="BB193" s="176"/>
      <c r="BC193" s="243"/>
      <c r="BD193" s="175"/>
      <c r="BE193" s="145"/>
      <c r="BF193" s="243"/>
      <c r="BG193" s="175"/>
      <c r="BH193" s="145"/>
      <c r="BI193" s="243"/>
      <c r="BJ193" s="175"/>
      <c r="BK193" s="145"/>
      <c r="BL193" s="243"/>
      <c r="BM193" s="175"/>
      <c r="BN193" s="145"/>
      <c r="BO193" s="243"/>
      <c r="BP193" s="175"/>
      <c r="BQ193" s="145"/>
      <c r="BT193" s="58"/>
    </row>
    <row r="194" spans="1:72" ht="32.1" customHeight="1">
      <c r="A194" s="227" t="str">
        <f>VLOOKUP(CONCATENATE("33",Konfiguration_Configuration!N$6),Daten!B$5:C$99,2,FALSE)</f>
        <v>Skating Skills</v>
      </c>
      <c r="B194" s="176"/>
      <c r="C194" s="176"/>
      <c r="D194" s="225"/>
      <c r="E194" s="175"/>
      <c r="F194" s="145"/>
      <c r="G194" s="225"/>
      <c r="H194" s="175"/>
      <c r="I194" s="145"/>
      <c r="J194" s="225"/>
      <c r="K194" s="175"/>
      <c r="L194" s="145"/>
      <c r="M194" s="225"/>
      <c r="N194" s="175"/>
      <c r="O194" s="145"/>
      <c r="P194" s="225"/>
      <c r="Q194" s="175"/>
      <c r="R194" s="145"/>
      <c r="S194" s="176"/>
      <c r="T194" s="176"/>
      <c r="U194" s="225"/>
      <c r="V194" s="175"/>
      <c r="W194" s="145"/>
      <c r="X194" s="225"/>
      <c r="Y194" s="175"/>
      <c r="Z194" s="145"/>
      <c r="AA194" s="225"/>
      <c r="AB194" s="175"/>
      <c r="AC194" s="145"/>
      <c r="AD194" s="225"/>
      <c r="AE194" s="175"/>
      <c r="AF194" s="145"/>
      <c r="AG194" s="225"/>
      <c r="AH194" s="175"/>
      <c r="AI194" s="145"/>
      <c r="AJ194" s="176"/>
      <c r="AK194" s="176"/>
      <c r="AL194" s="243"/>
      <c r="AM194" s="175"/>
      <c r="AN194" s="145"/>
      <c r="AO194" s="243"/>
      <c r="AP194" s="175"/>
      <c r="AQ194" s="145"/>
      <c r="AR194" s="243"/>
      <c r="AS194" s="175"/>
      <c r="AT194" s="145"/>
      <c r="AU194" s="243"/>
      <c r="AV194" s="175"/>
      <c r="AW194" s="145"/>
      <c r="AX194" s="243"/>
      <c r="AY194" s="175"/>
      <c r="AZ194" s="145"/>
      <c r="BA194" s="176"/>
      <c r="BB194" s="176"/>
      <c r="BC194" s="243"/>
      <c r="BD194" s="175"/>
      <c r="BE194" s="145"/>
      <c r="BF194" s="243"/>
      <c r="BG194" s="175"/>
      <c r="BH194" s="145"/>
      <c r="BI194" s="243"/>
      <c r="BJ194" s="175"/>
      <c r="BK194" s="145"/>
      <c r="BL194" s="243"/>
      <c r="BM194" s="175"/>
      <c r="BN194" s="145"/>
      <c r="BO194" s="243"/>
      <c r="BP194" s="175"/>
      <c r="BQ194" s="145"/>
      <c r="BT194" s="58"/>
    </row>
    <row r="195" spans="1:72" ht="31.5" customHeight="1">
      <c r="A195" s="227">
        <f>VLOOKUP(CONCATENATE("34",Konfiguration_Configuration!N$6),Daten!B$5:C$99,2,FALSE)</f>
        <v>0</v>
      </c>
      <c r="B195" s="176"/>
      <c r="C195" s="176"/>
      <c r="D195" s="225"/>
      <c r="E195" s="175"/>
      <c r="F195" s="146"/>
      <c r="G195" s="225"/>
      <c r="H195" s="175"/>
      <c r="I195" s="146"/>
      <c r="J195" s="225"/>
      <c r="K195" s="175"/>
      <c r="L195" s="146"/>
      <c r="M195" s="225"/>
      <c r="N195" s="175"/>
      <c r="O195" s="146"/>
      <c r="P195" s="225"/>
      <c r="Q195" s="175"/>
      <c r="R195" s="146"/>
      <c r="S195" s="176"/>
      <c r="T195" s="176"/>
      <c r="U195" s="225"/>
      <c r="V195" s="175"/>
      <c r="W195" s="146"/>
      <c r="X195" s="225"/>
      <c r="Y195" s="175"/>
      <c r="Z195" s="146"/>
      <c r="AA195" s="225"/>
      <c r="AB195" s="175"/>
      <c r="AC195" s="146"/>
      <c r="AD195" s="225"/>
      <c r="AE195" s="175"/>
      <c r="AF195" s="146"/>
      <c r="AG195" s="225"/>
      <c r="AH195" s="175"/>
      <c r="AI195" s="146"/>
      <c r="AJ195" s="176"/>
      <c r="AK195" s="176"/>
      <c r="AL195" s="244"/>
      <c r="AM195" s="175"/>
      <c r="AN195" s="146"/>
      <c r="AO195" s="244"/>
      <c r="AP195" s="175"/>
      <c r="AQ195" s="146"/>
      <c r="AR195" s="244"/>
      <c r="AS195" s="175"/>
      <c r="AT195" s="146"/>
      <c r="AU195" s="244"/>
      <c r="AV195" s="175"/>
      <c r="AW195" s="146"/>
      <c r="AX195" s="244"/>
      <c r="AY195" s="175"/>
      <c r="AZ195" s="146"/>
      <c r="BA195" s="176"/>
      <c r="BB195" s="176"/>
      <c r="BC195" s="244"/>
      <c r="BD195" s="175"/>
      <c r="BE195" s="146"/>
      <c r="BF195" s="244"/>
      <c r="BG195" s="175"/>
      <c r="BH195" s="146"/>
      <c r="BI195" s="244"/>
      <c r="BJ195" s="175"/>
      <c r="BK195" s="146"/>
      <c r="BL195" s="244"/>
      <c r="BM195" s="175"/>
      <c r="BN195" s="146"/>
      <c r="BO195" s="244"/>
      <c r="BP195" s="175"/>
      <c r="BQ195" s="146"/>
      <c r="BT195" s="58"/>
    </row>
    <row r="196" spans="1:72" ht="31.5" customHeight="1">
      <c r="A196" s="222" t="str">
        <f>VLOOKUP(CONCATENATE("11",Konfiguration_Configuration!N$6),Daten!B$5:C$99,2,FALSE)</f>
        <v>Total pro Preisrichter</v>
      </c>
      <c r="B196" s="176"/>
      <c r="C196" s="176"/>
      <c r="D196" s="254"/>
      <c r="E196" s="177"/>
      <c r="F196" s="146"/>
      <c r="G196" s="254"/>
      <c r="H196" s="177"/>
      <c r="I196" s="146"/>
      <c r="J196" s="254"/>
      <c r="K196" s="177"/>
      <c r="L196" s="146"/>
      <c r="M196" s="254"/>
      <c r="N196" s="177"/>
      <c r="O196" s="146"/>
      <c r="P196" s="254"/>
      <c r="Q196" s="177"/>
      <c r="R196" s="146"/>
      <c r="S196" s="176"/>
      <c r="T196" s="176"/>
      <c r="U196" s="254"/>
      <c r="V196" s="177"/>
      <c r="W196" s="146"/>
      <c r="X196" s="254"/>
      <c r="Y196" s="177"/>
      <c r="Z196" s="146"/>
      <c r="AA196" s="254"/>
      <c r="AB196" s="177"/>
      <c r="AC196" s="146"/>
      <c r="AD196" s="254"/>
      <c r="AE196" s="177"/>
      <c r="AF196" s="146"/>
      <c r="AG196" s="254"/>
      <c r="AH196" s="177"/>
      <c r="AI196" s="146"/>
      <c r="AJ196" s="176"/>
      <c r="AK196" s="176"/>
      <c r="AL196" s="254"/>
      <c r="AM196" s="177"/>
      <c r="AN196" s="146"/>
      <c r="AO196" s="254"/>
      <c r="AP196" s="177"/>
      <c r="AQ196" s="146"/>
      <c r="AR196" s="254"/>
      <c r="AS196" s="177"/>
      <c r="AT196" s="146"/>
      <c r="AU196" s="254"/>
      <c r="AV196" s="177"/>
      <c r="AW196" s="146"/>
      <c r="AX196" s="254"/>
      <c r="AY196" s="177"/>
      <c r="AZ196" s="146"/>
      <c r="BA196" s="176"/>
      <c r="BB196" s="176"/>
      <c r="BC196" s="254"/>
      <c r="BD196" s="177"/>
      <c r="BE196" s="146"/>
      <c r="BF196" s="254"/>
      <c r="BG196" s="177"/>
      <c r="BH196" s="146"/>
      <c r="BI196" s="254"/>
      <c r="BJ196" s="177"/>
      <c r="BK196" s="146"/>
      <c r="BL196" s="254"/>
      <c r="BM196" s="177"/>
      <c r="BN196" s="146"/>
      <c r="BO196" s="254"/>
      <c r="BP196" s="177"/>
      <c r="BQ196" s="146"/>
      <c r="BT196" s="58"/>
    </row>
    <row r="197" spans="1:72" ht="32.1" customHeight="1">
      <c r="A197" s="227" t="str">
        <f>VLOOKUP(CONCATENATE("41",Konfiguration_Configuration!N$6),Daten!B$5:C$99,2,FALSE)</f>
        <v>Sturz</v>
      </c>
      <c r="B197" s="229">
        <f>VLOOKUP(CONCATENATE("41",Konfiguration_Configuration!$N$6),Daten!$B$5:$D$99,3,FALSE)</f>
        <v>-0.25</v>
      </c>
      <c r="C197" s="176"/>
      <c r="D197" s="225"/>
      <c r="E197" s="175"/>
      <c r="F197" s="146"/>
      <c r="G197" s="225"/>
      <c r="H197" s="175"/>
      <c r="I197" s="146"/>
      <c r="J197" s="225"/>
      <c r="K197" s="175"/>
      <c r="L197" s="146"/>
      <c r="M197" s="225"/>
      <c r="N197" s="175"/>
      <c r="O197" s="146"/>
      <c r="P197" s="225"/>
      <c r="Q197" s="175"/>
      <c r="R197" s="146"/>
      <c r="S197" s="229">
        <f>VLOOKUP(CONCATENATE("41",Konfiguration_Configuration!$N$6),Daten!$B$5:$D$99,3,FALSE)</f>
        <v>-0.25</v>
      </c>
      <c r="T197" s="176"/>
      <c r="U197" s="225"/>
      <c r="V197" s="175"/>
      <c r="W197" s="146"/>
      <c r="X197" s="225"/>
      <c r="Y197" s="175"/>
      <c r="Z197" s="146"/>
      <c r="AA197" s="225"/>
      <c r="AB197" s="175"/>
      <c r="AC197" s="146"/>
      <c r="AD197" s="225"/>
      <c r="AE197" s="175"/>
      <c r="AF197" s="146"/>
      <c r="AG197" s="225"/>
      <c r="AH197" s="175"/>
      <c r="AI197" s="146"/>
      <c r="AJ197" s="176"/>
      <c r="AK197" s="176"/>
      <c r="AL197" s="255"/>
      <c r="AM197" s="175"/>
      <c r="AN197" s="146"/>
      <c r="AO197" s="255"/>
      <c r="AP197" s="175"/>
      <c r="AQ197" s="146"/>
      <c r="AR197" s="255"/>
      <c r="AS197" s="175"/>
      <c r="AT197" s="146"/>
      <c r="AU197" s="255"/>
      <c r="AV197" s="175"/>
      <c r="AW197" s="146"/>
      <c r="AX197" s="255"/>
      <c r="AY197" s="175"/>
      <c r="AZ197" s="146"/>
      <c r="BA197" s="176"/>
      <c r="BB197" s="176"/>
      <c r="BC197" s="255"/>
      <c r="BD197" s="175"/>
      <c r="BE197" s="146"/>
      <c r="BF197" s="255"/>
      <c r="BG197" s="175"/>
      <c r="BH197" s="146"/>
      <c r="BI197" s="255"/>
      <c r="BJ197" s="175"/>
      <c r="BK197" s="146"/>
      <c r="BL197" s="255"/>
      <c r="BM197" s="175"/>
      <c r="BN197" s="146"/>
      <c r="BO197" s="255"/>
      <c r="BP197" s="175"/>
      <c r="BQ197" s="146"/>
      <c r="BT197" s="58"/>
    </row>
    <row r="198" spans="1:72" ht="32.1" customHeight="1">
      <c r="A198" s="222" t="str">
        <f>VLOOKUP(CONCATENATE("11",Konfiguration_Configuration!N$6),Daten!B$5:C$99,2,FALSE)</f>
        <v>Total pro Preisrichter</v>
      </c>
      <c r="B198" s="241">
        <f>VLOOKUP(CONCATENATE("55",Konfiguration_Configuration!$N$6),Daten!$B$5:$E$99,3,FALSE)</f>
        <v>4.8</v>
      </c>
      <c r="C198" s="176"/>
      <c r="D198" s="254" t="str">
        <f>VLOOKUP(CONCATENATE("13",Konfiguration_Configuration!$N$6),Daten!$B$5:$E$99,2,FALSE)</f>
        <v>1. Teil bestanden:  ja  nein</v>
      </c>
      <c r="E198" s="177"/>
      <c r="F198" s="146"/>
      <c r="G198" s="254" t="str">
        <f>VLOOKUP(CONCATENATE("13",Konfiguration_Configuration!$N$6),Daten!$B$5:$E$99,2,FALSE)</f>
        <v>1. Teil bestanden:  ja  nein</v>
      </c>
      <c r="H198" s="177"/>
      <c r="I198" s="146"/>
      <c r="J198" s="254" t="str">
        <f>VLOOKUP(CONCATENATE("13",Konfiguration_Configuration!$N$6),Daten!$B$5:$E$99,2,FALSE)</f>
        <v>1. Teil bestanden:  ja  nein</v>
      </c>
      <c r="K198" s="177"/>
      <c r="L198" s="146"/>
      <c r="M198" s="254" t="str">
        <f>VLOOKUP(CONCATENATE("13",Konfiguration_Configuration!$N$6),Daten!$B$5:$E$99,2,FALSE)</f>
        <v>1. Teil bestanden:  ja  nein</v>
      </c>
      <c r="N198" s="177"/>
      <c r="O198" s="146"/>
      <c r="P198" s="254" t="str">
        <f>VLOOKUP(CONCATENATE("13",Konfiguration_Configuration!$N$6),Daten!$B$5:$E$99,2,FALSE)</f>
        <v>1. Teil bestanden:  ja  nein</v>
      </c>
      <c r="Q198" s="177"/>
      <c r="R198" s="146"/>
      <c r="S198" s="241">
        <f>VLOOKUP(CONCATENATE("55",Konfiguration_Configuration!$N$6),Daten!$B$5:$E$99,3,FALSE)</f>
        <v>4.8</v>
      </c>
      <c r="T198" s="176"/>
      <c r="U198" s="254" t="str">
        <f>VLOOKUP(CONCATENATE("13",Konfiguration_Configuration!$N$6),Daten!$B$5:$E$99,2,FALSE)</f>
        <v>1. Teil bestanden:  ja  nein</v>
      </c>
      <c r="V198" s="177"/>
      <c r="W198" s="146"/>
      <c r="X198" s="254" t="str">
        <f>VLOOKUP(CONCATENATE("13",Konfiguration_Configuration!$N$6),Daten!$B$5:$E$99,2,FALSE)</f>
        <v>1. Teil bestanden:  ja  nein</v>
      </c>
      <c r="Y198" s="177"/>
      <c r="Z198" s="146"/>
      <c r="AA198" s="254" t="str">
        <f>VLOOKUP(CONCATENATE("13",Konfiguration_Configuration!$N$6),Daten!$B$5:$E$99,2,FALSE)</f>
        <v>1. Teil bestanden:  ja  nein</v>
      </c>
      <c r="AB198" s="177"/>
      <c r="AC198" s="146"/>
      <c r="AD198" s="254" t="str">
        <f>VLOOKUP(CONCATENATE("13",Konfiguration_Configuration!$N$6),Daten!$B$5:$E$99,2,FALSE)</f>
        <v>1. Teil bestanden:  ja  nein</v>
      </c>
      <c r="AE198" s="177"/>
      <c r="AF198" s="146"/>
      <c r="AG198" s="254" t="str">
        <f>VLOOKUP(CONCATENATE("13",Konfiguration_Configuration!$N$6),Daten!$B$5:$E$99,2,FALSE)</f>
        <v>1. Teil bestanden:  ja  nein</v>
      </c>
      <c r="AH198" s="177"/>
      <c r="AI198" s="146"/>
      <c r="AJ198" s="176"/>
      <c r="AK198" s="176"/>
      <c r="AL198" s="254" t="str">
        <f>VLOOKUP(CONCATENATE("13",Konfiguration_Configuration!$N$6),Daten!$B$5:$E$99,2,FALSE)</f>
        <v>1. Teil bestanden:  ja  nein</v>
      </c>
      <c r="AM198" s="177"/>
      <c r="AN198" s="146"/>
      <c r="AO198" s="254" t="str">
        <f>VLOOKUP(CONCATENATE("13",Konfiguration_Configuration!$N$6),Daten!$B$5:$E$99,2,FALSE)</f>
        <v>1. Teil bestanden:  ja  nein</v>
      </c>
      <c r="AP198" s="177"/>
      <c r="AQ198" s="146"/>
      <c r="AR198" s="254" t="str">
        <f>VLOOKUP(CONCATENATE("13",Konfiguration_Configuration!$N$6),Daten!$B$5:$E$99,2,FALSE)</f>
        <v>1. Teil bestanden:  ja  nein</v>
      </c>
      <c r="AS198" s="177"/>
      <c r="AT198" s="146"/>
      <c r="AU198" s="254" t="str">
        <f>VLOOKUP(CONCATENATE("13",Konfiguration_Configuration!$N$6),Daten!$B$5:$E$99,2,FALSE)</f>
        <v>1. Teil bestanden:  ja  nein</v>
      </c>
      <c r="AV198" s="177"/>
      <c r="AW198" s="146"/>
      <c r="AX198" s="254" t="str">
        <f>VLOOKUP(CONCATENATE("13",Konfiguration_Configuration!$N$6),Daten!$B$5:$E$99,2,FALSE)</f>
        <v>1. Teil bestanden:  ja  nein</v>
      </c>
      <c r="AY198" s="177"/>
      <c r="AZ198" s="146"/>
      <c r="BA198" s="176"/>
      <c r="BB198" s="176"/>
      <c r="BC198" s="254" t="str">
        <f>VLOOKUP(CONCATENATE("13",Konfiguration_Configuration!$N$6),Daten!$B$5:$E$99,2,FALSE)</f>
        <v>1. Teil bestanden:  ja  nein</v>
      </c>
      <c r="BD198" s="177"/>
      <c r="BE198" s="146"/>
      <c r="BF198" s="254" t="str">
        <f>VLOOKUP(CONCATENATE("13",Konfiguration_Configuration!$N$6),Daten!$B$5:$E$99,2,FALSE)</f>
        <v>1. Teil bestanden:  ja  nein</v>
      </c>
      <c r="BG198" s="177"/>
      <c r="BH198" s="146"/>
      <c r="BI198" s="254" t="str">
        <f>VLOOKUP(CONCATENATE("13",Konfiguration_Configuration!$N$6),Daten!$B$5:$E$99,2,FALSE)</f>
        <v>1. Teil bestanden:  ja  nein</v>
      </c>
      <c r="BJ198" s="177"/>
      <c r="BK198" s="146"/>
      <c r="BL198" s="254" t="str">
        <f>VLOOKUP(CONCATENATE("13",Konfiguration_Configuration!$N$6),Daten!$B$5:$E$99,2,FALSE)</f>
        <v>1. Teil bestanden:  ja  nein</v>
      </c>
      <c r="BM198" s="177"/>
      <c r="BN198" s="146"/>
      <c r="BO198" s="254" t="str">
        <f>VLOOKUP(CONCATENATE("13",Konfiguration_Configuration!$N$6),Daten!$B$5:$E$99,2,FALSE)</f>
        <v>1. Teil bestanden:  ja  nein</v>
      </c>
      <c r="BP198" s="177"/>
      <c r="BQ198" s="146"/>
      <c r="BT198" s="58"/>
    </row>
    <row r="199" spans="1:72" ht="15" customHeight="1">
      <c r="D199" s="256"/>
      <c r="U199" s="256"/>
      <c r="BT199" s="58"/>
    </row>
    <row r="200" spans="1:72" ht="15" customHeight="1">
      <c r="D200" s="156" t="str">
        <f>VLOOKUP(CONCATENATE("51",Konfiguration_Configuration!$N$6),Daten!$B$5:$C$99,2,FALSE)</f>
        <v>2 Komponenten:</v>
      </c>
      <c r="U200" s="156" t="str">
        <f>VLOOKUP(CONCATENATE("51",Konfiguration_Configuration!$N$6),Daten!$B$5:$C237,2,FALSE)</f>
        <v>2 Komponenten:</v>
      </c>
      <c r="BT200" s="58"/>
    </row>
    <row r="201" spans="1:72" ht="15" customHeight="1">
      <c r="D201" s="156" t="str">
        <f>VLOOKUP(CONCATENATE("52",Konfiguration_Configuration!$N$6),Daten!$B$5:$C$99,2,FALSE)</f>
        <v>Die Punktzahl beträgt für den (0,6 pro Schritt) TES: 1,8 Punkte</v>
      </c>
      <c r="E201" s="27"/>
      <c r="F201" s="27"/>
      <c r="G201" s="27"/>
      <c r="H201" s="27"/>
      <c r="I201" s="27"/>
      <c r="J201" s="27"/>
      <c r="K201" s="27"/>
      <c r="L201" s="27"/>
      <c r="M201" s="27"/>
      <c r="N201" s="27"/>
      <c r="U201" s="156" t="str">
        <f>VLOOKUP(CONCATENATE("52",Konfiguration_Configuration!$N$6),Daten!$B$5:$C$99,2,FALSE)</f>
        <v>Die Punktzahl beträgt für den (0,6 pro Schritt) TES: 1,8 Punkte</v>
      </c>
      <c r="V201" s="27"/>
      <c r="W201" s="27"/>
      <c r="X201" s="27"/>
      <c r="Y201" s="27"/>
      <c r="Z201" s="27"/>
      <c r="AA201" s="27"/>
      <c r="AB201" s="27"/>
      <c r="AC201" s="27"/>
      <c r="AD201" s="27"/>
      <c r="AE201" s="27"/>
      <c r="AL201" s="156" t="str">
        <f>VLOOKUP(CONCATENATE("51",Konfiguration_Configuration!$N$6),Daten!$B$5:$C$99,2,FALSE)</f>
        <v>2 Komponenten:</v>
      </c>
      <c r="AM201" s="27"/>
      <c r="AN201" s="27"/>
      <c r="AO201" s="27"/>
      <c r="AP201" s="27"/>
      <c r="AQ201" s="27"/>
      <c r="AR201" s="27"/>
      <c r="AS201" s="27"/>
      <c r="AT201" s="27"/>
      <c r="AU201" s="27"/>
      <c r="AV201" s="27"/>
      <c r="BC201" s="156" t="str">
        <f>VLOOKUP(CONCATENATE("51",Konfiguration_Configuration!$N$6),Daten!$B$5:$C$99,2,FALSE)</f>
        <v>2 Komponenten:</v>
      </c>
      <c r="BD201" s="27"/>
      <c r="BE201" s="27"/>
      <c r="BF201" s="27"/>
      <c r="BG201" s="27"/>
      <c r="BH201" s="27"/>
      <c r="BI201" s="27"/>
      <c r="BJ201" s="27"/>
      <c r="BK201" s="27"/>
      <c r="BL201" s="27"/>
      <c r="BM201" s="27"/>
    </row>
    <row r="202" spans="1:72" ht="15" customHeight="1">
      <c r="D202" s="156" t="str">
        <f>VLOOKUP(CONCATENATE("53",Konfiguration_Configuration!$N$6),Daten!$B$5:$C$99,2,FALSE)</f>
        <v>und einen Durchschnitt von 1,5 x 2 PCS: 3,0 Punkte</v>
      </c>
      <c r="E202" s="27"/>
      <c r="F202" s="27"/>
      <c r="G202" s="27"/>
      <c r="H202" s="27"/>
      <c r="I202" s="27"/>
      <c r="J202" s="27"/>
      <c r="K202" s="27"/>
      <c r="L202" s="27"/>
      <c r="M202" s="27"/>
      <c r="N202" s="27"/>
      <c r="U202" s="156" t="str">
        <f>VLOOKUP(CONCATENATE("53",Konfiguration_Configuration!$N$6),Daten!$B$5:$C$99,2,FALSE)</f>
        <v>und einen Durchschnitt von 1,5 x 2 PCS: 3,0 Punkte</v>
      </c>
      <c r="V202" s="27"/>
      <c r="W202" s="27"/>
      <c r="X202" s="27"/>
      <c r="Y202" s="27"/>
      <c r="Z202" s="27"/>
      <c r="AA202" s="27"/>
      <c r="AB202" s="27"/>
      <c r="AC202" s="27"/>
      <c r="AD202" s="27"/>
      <c r="AE202" s="27"/>
      <c r="AL202" s="156" t="str">
        <f>VLOOKUP(CONCATENATE("52",Konfiguration_Configuration!$N$6),Daten!$B$5:$C$99,2,FALSE)</f>
        <v>Die Punktzahl beträgt für den (0,6 pro Schritt) TES: 1,8 Punkte</v>
      </c>
      <c r="AM202" s="27"/>
      <c r="AN202" s="27"/>
      <c r="AO202" s="27"/>
      <c r="AP202" s="27"/>
      <c r="AQ202" s="27"/>
      <c r="AR202" s="27"/>
      <c r="AS202" s="27"/>
      <c r="AT202" s="27"/>
      <c r="AU202" s="27"/>
      <c r="AV202" s="27"/>
      <c r="BC202" s="156" t="str">
        <f>VLOOKUP(CONCATENATE("52",Konfiguration_Configuration!$N$6),Daten!$B$5:$C$99,2,FALSE)</f>
        <v>Die Punktzahl beträgt für den (0,6 pro Schritt) TES: 1,8 Punkte</v>
      </c>
      <c r="BD202" s="27"/>
      <c r="BE202" s="27"/>
      <c r="BF202" s="27"/>
      <c r="BG202" s="27"/>
      <c r="BH202" s="27"/>
      <c r="BI202" s="27"/>
      <c r="BJ202" s="27"/>
      <c r="BK202" s="27"/>
      <c r="BL202" s="27"/>
      <c r="BM202" s="27"/>
    </row>
    <row r="203" spans="1:72" ht="15" customHeight="1">
      <c r="D203" s="156" t="str">
        <f>VLOOKUP(CONCATENATE("54",Konfiguration_Configuration!$N$6),Daten!$B$5:$C$99,2,FALSE)</f>
        <v>Sturz: (-0,25 pro Sturz)</v>
      </c>
      <c r="E203" s="27"/>
      <c r="F203" s="27"/>
      <c r="G203" s="27"/>
      <c r="H203" s="27"/>
      <c r="I203" s="27"/>
      <c r="J203" s="27"/>
      <c r="K203" s="27"/>
      <c r="L203" s="27"/>
      <c r="M203" s="27"/>
      <c r="U203" s="156" t="str">
        <f>VLOOKUP(CONCATENATE("54",Konfiguration_Configuration!$N$6),Daten!$B$5:$C$99,2,FALSE)</f>
        <v>Sturz: (-0,25 pro Sturz)</v>
      </c>
      <c r="V203" s="27"/>
      <c r="W203" s="27"/>
      <c r="X203" s="27"/>
      <c r="Y203" s="27"/>
      <c r="Z203" s="27"/>
      <c r="AA203" s="27"/>
      <c r="AB203" s="27"/>
      <c r="AC203" s="27"/>
      <c r="AD203" s="27"/>
      <c r="AL203" s="156" t="str">
        <f>VLOOKUP(CONCATENATE("53",Konfiguration_Configuration!$N$6),Daten!$B$5:$C$99,2,FALSE)</f>
        <v>und einen Durchschnitt von 1,5 x 2 PCS: 3,0 Punkte</v>
      </c>
      <c r="AM203" s="27"/>
      <c r="AN203" s="27"/>
      <c r="AO203" s="27"/>
      <c r="AP203" s="27"/>
      <c r="AQ203" s="27"/>
      <c r="AR203" s="27"/>
      <c r="AS203" s="27"/>
      <c r="AT203" s="27"/>
      <c r="AU203" s="27"/>
      <c r="BC203" s="156" t="str">
        <f>VLOOKUP(CONCATENATE("53",Konfiguration_Configuration!$N$6),Daten!$B$5:$C$99,2,FALSE)</f>
        <v>und einen Durchschnitt von 1,5 x 2 PCS: 3,0 Punkte</v>
      </c>
      <c r="BD203" s="27"/>
      <c r="BE203" s="27"/>
      <c r="BF203" s="27"/>
      <c r="BG203" s="27"/>
      <c r="BH203" s="27"/>
      <c r="BI203" s="27"/>
      <c r="BJ203" s="27"/>
      <c r="BK203" s="27"/>
      <c r="BL203" s="27"/>
    </row>
    <row r="204" spans="1:72" ht="15" customHeight="1">
      <c r="D204" s="156" t="str">
        <f>VLOOKUP(CONCATENATE("55",Konfiguration_Configuration!$N$6),Daten!$B$5:$C$99,2,FALSE)</f>
        <v>zum Bestehen braucht der Läufer: TSS 4,8 Punkte</v>
      </c>
      <c r="E204" s="27"/>
      <c r="F204" s="27"/>
      <c r="G204" s="27"/>
      <c r="H204" s="27"/>
      <c r="I204" s="27"/>
      <c r="J204" s="27"/>
      <c r="K204" s="27"/>
      <c r="L204" s="27"/>
      <c r="M204" s="27"/>
      <c r="U204" s="156" t="str">
        <f>VLOOKUP(CONCATENATE("55",Konfiguration_Configuration!$N$6),Daten!$B$5:$C$99,2,FALSE)</f>
        <v>zum Bestehen braucht der Läufer: TSS 4,8 Punkte</v>
      </c>
      <c r="V204" s="27"/>
      <c r="W204" s="27"/>
      <c r="X204" s="27"/>
      <c r="Y204" s="27"/>
      <c r="Z204" s="27"/>
      <c r="AA204" s="27"/>
      <c r="AB204" s="27"/>
      <c r="AC204" s="27"/>
      <c r="AD204" s="27"/>
      <c r="AL204" s="156" t="str">
        <f>VLOOKUP(CONCATENATE("54",Konfiguration_Configuration!$N$6),Daten!$B$5:$C$99,2,FALSE)</f>
        <v>Sturz: (-0,25 pro Sturz)</v>
      </c>
      <c r="AM204" s="27"/>
      <c r="AN204" s="27"/>
      <c r="AO204" s="27"/>
      <c r="AP204" s="27"/>
      <c r="AQ204" s="27"/>
      <c r="AR204" s="27"/>
      <c r="AS204" s="27"/>
      <c r="AT204" s="27"/>
      <c r="AU204" s="27"/>
      <c r="BC204" s="156" t="str">
        <f>VLOOKUP(CONCATENATE("54",Konfiguration_Configuration!$N$6),Daten!$B$5:$C$99,2,FALSE)</f>
        <v>Sturz: (-0,25 pro Sturz)</v>
      </c>
      <c r="BD204" s="27"/>
      <c r="BE204" s="27"/>
      <c r="BF204" s="27"/>
      <c r="BG204" s="27"/>
      <c r="BH204" s="27"/>
      <c r="BI204" s="27"/>
      <c r="BJ204" s="27"/>
      <c r="BK204" s="27"/>
      <c r="BL204" s="27"/>
    </row>
    <row r="205" spans="1:72" ht="15" customHeight="1">
      <c r="D205" s="156"/>
      <c r="E205" s="27"/>
      <c r="AL205" s="156" t="str">
        <f>VLOOKUP(CONCATENATE("55",Konfiguration_Configuration!$N$6),Daten!$B$5:$C$99,2,FALSE)</f>
        <v>zum Bestehen braucht der Läufer: TSS 4,8 Punkte</v>
      </c>
      <c r="BC205" s="156" t="str">
        <f>VLOOKUP(CONCATENATE("55",Konfiguration_Configuration!$N$6),Daten!$B$5:$C$99,2,FALSE)</f>
        <v>zum Bestehen braucht der Läufer: TSS 4,8 Punkte</v>
      </c>
    </row>
    <row r="206" spans="1:72">
      <c r="E206" s="365" t="str">
        <f>VLOOKUP(CONCATENATE("56",Konfiguration_Configuration!N$6),Daten!B$5:E$99,2,FALSE)</f>
        <v>Unterschrift des Preisrichters __________________________________</v>
      </c>
      <c r="F206" s="365"/>
      <c r="G206" s="365"/>
      <c r="H206" s="365"/>
      <c r="I206" s="365"/>
      <c r="J206" s="365"/>
      <c r="K206" s="365"/>
      <c r="L206" s="365"/>
      <c r="M206" s="365"/>
      <c r="V206" s="365" t="str">
        <f>VLOOKUP(CONCATENATE("56",Konfiguration_Configuration!N$6),Daten!B$5:E$99,2,FALSE)</f>
        <v>Unterschrift des Preisrichters __________________________________</v>
      </c>
      <c r="W206" s="365"/>
      <c r="X206" s="365"/>
      <c r="Y206" s="365"/>
      <c r="Z206" s="365"/>
      <c r="AA206" s="365"/>
      <c r="AB206" s="365"/>
      <c r="AC206" s="365"/>
      <c r="AD206" s="365"/>
      <c r="AM206" s="365" t="str">
        <f>VLOOKUP(CONCATENATE("56",Konfiguration_Configuration!N$6),Daten!B$5:E$99,2,FALSE)</f>
        <v>Unterschrift des Preisrichters __________________________________</v>
      </c>
      <c r="AN206" s="365"/>
      <c r="AO206" s="365"/>
      <c r="AP206" s="365"/>
      <c r="AQ206" s="365"/>
      <c r="AR206" s="365"/>
      <c r="AS206" s="365"/>
      <c r="AT206" s="365"/>
      <c r="AU206" s="365"/>
      <c r="BD206" s="365" t="str">
        <f>VLOOKUP(CONCATENATE("56",Konfiguration_Configuration!N$6),Daten!B$5:E$99,2,FALSE)</f>
        <v>Unterschrift des Preisrichters __________________________________</v>
      </c>
      <c r="BE206" s="365"/>
      <c r="BF206" s="365"/>
      <c r="BG206" s="365"/>
      <c r="BH206" s="365"/>
      <c r="BI206" s="365"/>
      <c r="BJ206" s="365"/>
      <c r="BK206" s="365"/>
      <c r="BL206" s="365"/>
    </row>
    <row r="207" spans="1:72">
      <c r="A207" s="369" t="str">
        <f>Lizenzvermerk</f>
        <v>Version 1.3;
06.01.2024</v>
      </c>
      <c r="B207" s="370"/>
      <c r="C207" s="370"/>
      <c r="E207" s="365"/>
      <c r="F207" s="365"/>
      <c r="G207" s="365"/>
      <c r="H207" s="365"/>
      <c r="I207" s="365"/>
      <c r="J207" s="365"/>
      <c r="K207" s="365"/>
      <c r="L207" s="365"/>
      <c r="M207" s="365"/>
      <c r="V207" s="365"/>
      <c r="W207" s="365"/>
      <c r="X207" s="365"/>
      <c r="Y207" s="365"/>
      <c r="Z207" s="365"/>
      <c r="AA207" s="365"/>
      <c r="AB207" s="365"/>
      <c r="AC207" s="365"/>
      <c r="AD207" s="365"/>
      <c r="AM207" s="365"/>
      <c r="AN207" s="365"/>
      <c r="AO207" s="365"/>
      <c r="AP207" s="365"/>
      <c r="AQ207" s="365"/>
      <c r="AR207" s="365"/>
      <c r="AS207" s="365"/>
      <c r="AT207" s="365"/>
      <c r="AU207" s="365"/>
      <c r="BD207" s="365"/>
      <c r="BE207" s="365"/>
      <c r="BF207" s="365"/>
      <c r="BG207" s="365"/>
      <c r="BH207" s="365"/>
      <c r="BI207" s="365"/>
      <c r="BJ207" s="365"/>
      <c r="BK207" s="365"/>
      <c r="BL207" s="365"/>
    </row>
  </sheetData>
  <sheetProtection algorithmName="SHA-512" hashValue="4eRw5D0iarsBwHf3dzjmVnHKuRcmRcSK94M+pT69aGNxPqhO2yJOxcGN8i54MNa5ZOFxe98vQHgIeu7upqy/ng==" saltValue="IlJpFO5hdXK70Tvmo/N9bA==" spinCount="100000" sheet="1" selectLockedCells="1"/>
  <dataConsolidate/>
  <mergeCells count="495">
    <mergeCell ref="BM187:BM188"/>
    <mergeCell ref="BO187:BO188"/>
    <mergeCell ref="BP187:BP188"/>
    <mergeCell ref="A192:C192"/>
    <mergeCell ref="E206:M207"/>
    <mergeCell ref="V206:AD207"/>
    <mergeCell ref="AM206:AU207"/>
    <mergeCell ref="BD206:BL207"/>
    <mergeCell ref="A207:C207"/>
    <mergeCell ref="AY187:AY188"/>
    <mergeCell ref="BB187:BB188"/>
    <mergeCell ref="BC187:BC188"/>
    <mergeCell ref="BD187:BD188"/>
    <mergeCell ref="BF187:BF188"/>
    <mergeCell ref="BG187:BG188"/>
    <mergeCell ref="BI187:BI188"/>
    <mergeCell ref="BJ187:BJ188"/>
    <mergeCell ref="BL187:BL188"/>
    <mergeCell ref="AL187:AL188"/>
    <mergeCell ref="AM187:AM188"/>
    <mergeCell ref="AO187:AO188"/>
    <mergeCell ref="AU187:AU188"/>
    <mergeCell ref="AV187:AV188"/>
    <mergeCell ref="AX187:AX188"/>
    <mergeCell ref="BP185:BP186"/>
    <mergeCell ref="C187:C188"/>
    <mergeCell ref="D187:D188"/>
    <mergeCell ref="E187:E188"/>
    <mergeCell ref="G187:G188"/>
    <mergeCell ref="H187:H188"/>
    <mergeCell ref="J187:J188"/>
    <mergeCell ref="K187:K188"/>
    <mergeCell ref="M187:M188"/>
    <mergeCell ref="N187:N188"/>
    <mergeCell ref="P187:P188"/>
    <mergeCell ref="Q187:Q188"/>
    <mergeCell ref="T187:T188"/>
    <mergeCell ref="U187:U188"/>
    <mergeCell ref="V187:V188"/>
    <mergeCell ref="X187:X188"/>
    <mergeCell ref="Y187:Y188"/>
    <mergeCell ref="AA187:AA188"/>
    <mergeCell ref="AG187:AG188"/>
    <mergeCell ref="AH187:AH188"/>
    <mergeCell ref="AK187:AK188"/>
    <mergeCell ref="AB187:AB188"/>
    <mergeCell ref="AD187:AD188"/>
    <mergeCell ref="AE187:AE188"/>
    <mergeCell ref="BL185:BL186"/>
    <mergeCell ref="BM185:BM186"/>
    <mergeCell ref="BO185:BO186"/>
    <mergeCell ref="AO185:AO186"/>
    <mergeCell ref="AP185:AP186"/>
    <mergeCell ref="AR185:AR186"/>
    <mergeCell ref="AS185:AS186"/>
    <mergeCell ref="AU185:AU186"/>
    <mergeCell ref="AV185:AV186"/>
    <mergeCell ref="AX185:AX186"/>
    <mergeCell ref="AY185:AY186"/>
    <mergeCell ref="BB185:BB186"/>
    <mergeCell ref="BC185:BC186"/>
    <mergeCell ref="BD185:BD186"/>
    <mergeCell ref="BF185:BF186"/>
    <mergeCell ref="BG185:BG186"/>
    <mergeCell ref="BI185:BI186"/>
    <mergeCell ref="BJ185:BJ186"/>
    <mergeCell ref="AP187:AP188"/>
    <mergeCell ref="AR187:AR188"/>
    <mergeCell ref="AS187:AS188"/>
    <mergeCell ref="AA185:AA186"/>
    <mergeCell ref="AB185:AB186"/>
    <mergeCell ref="AD185:AD186"/>
    <mergeCell ref="AE185:AE186"/>
    <mergeCell ref="AG185:AG186"/>
    <mergeCell ref="AH185:AH186"/>
    <mergeCell ref="AK185:AK186"/>
    <mergeCell ref="AL185:AL186"/>
    <mergeCell ref="AM185:AM186"/>
    <mergeCell ref="BF183:BF184"/>
    <mergeCell ref="BG183:BG184"/>
    <mergeCell ref="BI183:BI184"/>
    <mergeCell ref="BJ183:BJ184"/>
    <mergeCell ref="BL183:BL184"/>
    <mergeCell ref="BM183:BM184"/>
    <mergeCell ref="BO183:BO184"/>
    <mergeCell ref="BP183:BP184"/>
    <mergeCell ref="C185:C186"/>
    <mergeCell ref="D185:D186"/>
    <mergeCell ref="E185:E186"/>
    <mergeCell ref="G185:G186"/>
    <mergeCell ref="H185:H186"/>
    <mergeCell ref="J185:J186"/>
    <mergeCell ref="K185:K186"/>
    <mergeCell ref="M185:M186"/>
    <mergeCell ref="N185:N186"/>
    <mergeCell ref="P185:P186"/>
    <mergeCell ref="Q185:Q186"/>
    <mergeCell ref="T185:T186"/>
    <mergeCell ref="U185:U186"/>
    <mergeCell ref="V185:V186"/>
    <mergeCell ref="X185:X186"/>
    <mergeCell ref="Y185:Y186"/>
    <mergeCell ref="AR183:AR184"/>
    <mergeCell ref="AS183:AS184"/>
    <mergeCell ref="AU183:AU184"/>
    <mergeCell ref="AV183:AV184"/>
    <mergeCell ref="AX183:AX184"/>
    <mergeCell ref="AY183:AY184"/>
    <mergeCell ref="BB183:BB184"/>
    <mergeCell ref="BC183:BC184"/>
    <mergeCell ref="BD183:BD184"/>
    <mergeCell ref="AD183:AD184"/>
    <mergeCell ref="AE183:AE184"/>
    <mergeCell ref="AG183:AG184"/>
    <mergeCell ref="AH183:AH184"/>
    <mergeCell ref="AK183:AK184"/>
    <mergeCell ref="AL183:AL184"/>
    <mergeCell ref="AM183:AM184"/>
    <mergeCell ref="AO183:AO184"/>
    <mergeCell ref="AP183:AP184"/>
    <mergeCell ref="B174:C174"/>
    <mergeCell ref="S174:T174"/>
    <mergeCell ref="AJ174:AK174"/>
    <mergeCell ref="BA174:BB174"/>
    <mergeCell ref="A182:C182"/>
    <mergeCell ref="D182:R182"/>
    <mergeCell ref="C183:C184"/>
    <mergeCell ref="D183:D184"/>
    <mergeCell ref="E183:E184"/>
    <mergeCell ref="G183:G184"/>
    <mergeCell ref="H183:H184"/>
    <mergeCell ref="J183:J184"/>
    <mergeCell ref="K183:K184"/>
    <mergeCell ref="M183:M184"/>
    <mergeCell ref="N183:N184"/>
    <mergeCell ref="P183:P184"/>
    <mergeCell ref="Q183:Q184"/>
    <mergeCell ref="T183:T184"/>
    <mergeCell ref="U183:U184"/>
    <mergeCell ref="V183:V184"/>
    <mergeCell ref="X183:X184"/>
    <mergeCell ref="Y183:Y184"/>
    <mergeCell ref="AA183:AA184"/>
    <mergeCell ref="AB183:AB184"/>
    <mergeCell ref="A159:A160"/>
    <mergeCell ref="A162:A163"/>
    <mergeCell ref="A165:A166"/>
    <mergeCell ref="D167:R167"/>
    <mergeCell ref="U167:AI167"/>
    <mergeCell ref="AL167:AZ167"/>
    <mergeCell ref="BC167:BQ167"/>
    <mergeCell ref="A169:C169"/>
    <mergeCell ref="E169:O169"/>
    <mergeCell ref="S169:U169"/>
    <mergeCell ref="W169:AG169"/>
    <mergeCell ref="AJ169:AL169"/>
    <mergeCell ref="AN169:AX169"/>
    <mergeCell ref="BA169:BC169"/>
    <mergeCell ref="BE169:BO169"/>
    <mergeCell ref="AG118:AG119"/>
    <mergeCell ref="AH118:AH119"/>
    <mergeCell ref="AK118:AK119"/>
    <mergeCell ref="B143:C143"/>
    <mergeCell ref="S143:T143"/>
    <mergeCell ref="AJ143:AK143"/>
    <mergeCell ref="BA143:BB143"/>
    <mergeCell ref="A153:A154"/>
    <mergeCell ref="A156:A157"/>
    <mergeCell ref="AU118:AU119"/>
    <mergeCell ref="AV118:AV119"/>
    <mergeCell ref="AX118:AX119"/>
    <mergeCell ref="BM118:BM119"/>
    <mergeCell ref="BO118:BO119"/>
    <mergeCell ref="BP118:BP119"/>
    <mergeCell ref="A123:C123"/>
    <mergeCell ref="E137:M138"/>
    <mergeCell ref="V137:AD138"/>
    <mergeCell ref="AM137:AU138"/>
    <mergeCell ref="BD137:BL138"/>
    <mergeCell ref="A138:C138"/>
    <mergeCell ref="AY118:AY119"/>
    <mergeCell ref="BB118:BB119"/>
    <mergeCell ref="BC118:BC119"/>
    <mergeCell ref="BD118:BD119"/>
    <mergeCell ref="BF118:BF119"/>
    <mergeCell ref="BG118:BG119"/>
    <mergeCell ref="BI118:BI119"/>
    <mergeCell ref="BJ118:BJ119"/>
    <mergeCell ref="BL118:BL119"/>
    <mergeCell ref="AL118:AL119"/>
    <mergeCell ref="AM118:AM119"/>
    <mergeCell ref="AO118:AO119"/>
    <mergeCell ref="AP118:AP119"/>
    <mergeCell ref="AR118:AR119"/>
    <mergeCell ref="AS118:AS119"/>
    <mergeCell ref="BP116:BP117"/>
    <mergeCell ref="C118:C119"/>
    <mergeCell ref="D118:D119"/>
    <mergeCell ref="E118:E119"/>
    <mergeCell ref="G118:G119"/>
    <mergeCell ref="H118:H119"/>
    <mergeCell ref="J118:J119"/>
    <mergeCell ref="K118:K119"/>
    <mergeCell ref="M118:M119"/>
    <mergeCell ref="N118:N119"/>
    <mergeCell ref="P118:P119"/>
    <mergeCell ref="Q118:Q119"/>
    <mergeCell ref="T118:T119"/>
    <mergeCell ref="U118:U119"/>
    <mergeCell ref="V118:V119"/>
    <mergeCell ref="X118:X119"/>
    <mergeCell ref="Y118:Y119"/>
    <mergeCell ref="AA118:AA119"/>
    <mergeCell ref="AB118:AB119"/>
    <mergeCell ref="AD118:AD119"/>
    <mergeCell ref="AE118:AE119"/>
    <mergeCell ref="BL116:BL117"/>
    <mergeCell ref="BM116:BM117"/>
    <mergeCell ref="BO116:BO117"/>
    <mergeCell ref="BC116:BC117"/>
    <mergeCell ref="BD116:BD117"/>
    <mergeCell ref="BF116:BF117"/>
    <mergeCell ref="BG116:BG117"/>
    <mergeCell ref="BI116:BI117"/>
    <mergeCell ref="BJ116:BJ117"/>
    <mergeCell ref="AA116:AA117"/>
    <mergeCell ref="AB116:AB117"/>
    <mergeCell ref="AD116:AD117"/>
    <mergeCell ref="AE116:AE117"/>
    <mergeCell ref="AG116:AG117"/>
    <mergeCell ref="AH116:AH117"/>
    <mergeCell ref="AK116:AK117"/>
    <mergeCell ref="AL116:AL117"/>
    <mergeCell ref="AM116:AM117"/>
    <mergeCell ref="AO116:AO117"/>
    <mergeCell ref="AP116:AP117"/>
    <mergeCell ref="AR116:AR117"/>
    <mergeCell ref="AS116:AS117"/>
    <mergeCell ref="AU116:AU117"/>
    <mergeCell ref="AV116:AV117"/>
    <mergeCell ref="AX116:AX117"/>
    <mergeCell ref="AY116:AY117"/>
    <mergeCell ref="BB116:BB117"/>
    <mergeCell ref="BF114:BF115"/>
    <mergeCell ref="BG114:BG115"/>
    <mergeCell ref="BI114:BI115"/>
    <mergeCell ref="BJ114:BJ115"/>
    <mergeCell ref="BL114:BL115"/>
    <mergeCell ref="BM114:BM115"/>
    <mergeCell ref="BO114:BO115"/>
    <mergeCell ref="BP114:BP115"/>
    <mergeCell ref="C116:C117"/>
    <mergeCell ref="D116:D117"/>
    <mergeCell ref="E116:E117"/>
    <mergeCell ref="G116:G117"/>
    <mergeCell ref="H116:H117"/>
    <mergeCell ref="J116:J117"/>
    <mergeCell ref="K116:K117"/>
    <mergeCell ref="M116:M117"/>
    <mergeCell ref="N116:N117"/>
    <mergeCell ref="P116:P117"/>
    <mergeCell ref="Q116:Q117"/>
    <mergeCell ref="T116:T117"/>
    <mergeCell ref="U116:U117"/>
    <mergeCell ref="V116:V117"/>
    <mergeCell ref="X116:X117"/>
    <mergeCell ref="Y116:Y117"/>
    <mergeCell ref="AR114:AR115"/>
    <mergeCell ref="AS114:AS115"/>
    <mergeCell ref="AU114:AU115"/>
    <mergeCell ref="AV114:AV115"/>
    <mergeCell ref="AX114:AX115"/>
    <mergeCell ref="AY114:AY115"/>
    <mergeCell ref="BB114:BB115"/>
    <mergeCell ref="BC114:BC115"/>
    <mergeCell ref="BD114:BD115"/>
    <mergeCell ref="AD114:AD115"/>
    <mergeCell ref="AE114:AE115"/>
    <mergeCell ref="AG114:AG115"/>
    <mergeCell ref="AH114:AH115"/>
    <mergeCell ref="AK114:AK115"/>
    <mergeCell ref="AL114:AL115"/>
    <mergeCell ref="AM114:AM115"/>
    <mergeCell ref="AO114:AO115"/>
    <mergeCell ref="AP114:AP115"/>
    <mergeCell ref="B105:C105"/>
    <mergeCell ref="S105:T105"/>
    <mergeCell ref="AJ105:AK105"/>
    <mergeCell ref="BA105:BB105"/>
    <mergeCell ref="A113:C113"/>
    <mergeCell ref="D113:R113"/>
    <mergeCell ref="C114:C115"/>
    <mergeCell ref="D114:D115"/>
    <mergeCell ref="E114:E115"/>
    <mergeCell ref="G114:G115"/>
    <mergeCell ref="H114:H115"/>
    <mergeCell ref="J114:J115"/>
    <mergeCell ref="K114:K115"/>
    <mergeCell ref="M114:M115"/>
    <mergeCell ref="N114:N115"/>
    <mergeCell ref="P114:P115"/>
    <mergeCell ref="Q114:Q115"/>
    <mergeCell ref="T114:T115"/>
    <mergeCell ref="U114:U115"/>
    <mergeCell ref="V114:V115"/>
    <mergeCell ref="X114:X115"/>
    <mergeCell ref="Y114:Y115"/>
    <mergeCell ref="AA114:AA115"/>
    <mergeCell ref="AB114:AB115"/>
    <mergeCell ref="D98:R98"/>
    <mergeCell ref="U98:AI98"/>
    <mergeCell ref="AL98:AZ98"/>
    <mergeCell ref="BC98:BQ98"/>
    <mergeCell ref="A100:C100"/>
    <mergeCell ref="E100:O100"/>
    <mergeCell ref="S100:U100"/>
    <mergeCell ref="W100:AG100"/>
    <mergeCell ref="AJ100:AL100"/>
    <mergeCell ref="AN100:AX100"/>
    <mergeCell ref="BA100:BC100"/>
    <mergeCell ref="BE100:BO100"/>
    <mergeCell ref="B74:C74"/>
    <mergeCell ref="S74:T74"/>
    <mergeCell ref="AJ74:AK74"/>
    <mergeCell ref="BA74:BB74"/>
    <mergeCell ref="A84:A85"/>
    <mergeCell ref="A87:A88"/>
    <mergeCell ref="A90:A91"/>
    <mergeCell ref="A93:A94"/>
    <mergeCell ref="A96:A97"/>
    <mergeCell ref="BO49:BO50"/>
    <mergeCell ref="BP49:BP50"/>
    <mergeCell ref="BB49:BB50"/>
    <mergeCell ref="BC49:BC50"/>
    <mergeCell ref="BD49:BD50"/>
    <mergeCell ref="BF49:BF50"/>
    <mergeCell ref="BG49:BG50"/>
    <mergeCell ref="BI49:BI50"/>
    <mergeCell ref="BJ49:BJ50"/>
    <mergeCell ref="BL49:BL50"/>
    <mergeCell ref="BM49:BM50"/>
    <mergeCell ref="BG45:BG46"/>
    <mergeCell ref="BI45:BI46"/>
    <mergeCell ref="BJ45:BJ46"/>
    <mergeCell ref="BL45:BL46"/>
    <mergeCell ref="BM45:BM46"/>
    <mergeCell ref="BO45:BO46"/>
    <mergeCell ref="BP45:BP46"/>
    <mergeCell ref="BB47:BB48"/>
    <mergeCell ref="BC47:BC48"/>
    <mergeCell ref="BD47:BD48"/>
    <mergeCell ref="BF47:BF48"/>
    <mergeCell ref="BG47:BG48"/>
    <mergeCell ref="BI47:BI48"/>
    <mergeCell ref="BJ47:BJ48"/>
    <mergeCell ref="BL47:BL48"/>
    <mergeCell ref="BM47:BM48"/>
    <mergeCell ref="BO47:BO48"/>
    <mergeCell ref="BP47:BP48"/>
    <mergeCell ref="BC45:BC46"/>
    <mergeCell ref="BD45:BD46"/>
    <mergeCell ref="BF45:BF46"/>
    <mergeCell ref="AP45:AP46"/>
    <mergeCell ref="AR45:AR46"/>
    <mergeCell ref="AS45:AS46"/>
    <mergeCell ref="C49:C50"/>
    <mergeCell ref="D49:D50"/>
    <mergeCell ref="G45:G46"/>
    <mergeCell ref="AY47:AY48"/>
    <mergeCell ref="AK49:AK50"/>
    <mergeCell ref="AL49:AL50"/>
    <mergeCell ref="AM49:AM50"/>
    <mergeCell ref="AO49:AO50"/>
    <mergeCell ref="AP49:AP50"/>
    <mergeCell ref="AR49:AR50"/>
    <mergeCell ref="AS49:AS50"/>
    <mergeCell ref="AU49:AU50"/>
    <mergeCell ref="AV49:AV50"/>
    <mergeCell ref="AX49:AX50"/>
    <mergeCell ref="AY49:AY50"/>
    <mergeCell ref="BA31:BC31"/>
    <mergeCell ref="BE31:BO31"/>
    <mergeCell ref="U29:AI29"/>
    <mergeCell ref="AL29:AZ29"/>
    <mergeCell ref="BC29:BQ29"/>
    <mergeCell ref="T45:T46"/>
    <mergeCell ref="U45:U46"/>
    <mergeCell ref="V45:V46"/>
    <mergeCell ref="X45:X46"/>
    <mergeCell ref="Y45:Y46"/>
    <mergeCell ref="AA45:AA46"/>
    <mergeCell ref="AB45:AB46"/>
    <mergeCell ref="AD45:AD46"/>
    <mergeCell ref="AE45:AE46"/>
    <mergeCell ref="AG45:AG46"/>
    <mergeCell ref="AH45:AH46"/>
    <mergeCell ref="AU45:AU46"/>
    <mergeCell ref="AV45:AV46"/>
    <mergeCell ref="AX45:AX46"/>
    <mergeCell ref="AY45:AY46"/>
    <mergeCell ref="BB45:BB46"/>
    <mergeCell ref="S31:U31"/>
    <mergeCell ref="W31:AG31"/>
    <mergeCell ref="AJ31:AL31"/>
    <mergeCell ref="AN31:AX31"/>
    <mergeCell ref="E49:E50"/>
    <mergeCell ref="T49:T50"/>
    <mergeCell ref="U49:U50"/>
    <mergeCell ref="D47:D48"/>
    <mergeCell ref="E47:E48"/>
    <mergeCell ref="AK47:AK48"/>
    <mergeCell ref="AL47:AL48"/>
    <mergeCell ref="AM47:AM48"/>
    <mergeCell ref="AO47:AO48"/>
    <mergeCell ref="AP47:AP48"/>
    <mergeCell ref="AR47:AR48"/>
    <mergeCell ref="AS47:AS48"/>
    <mergeCell ref="AU47:AU48"/>
    <mergeCell ref="AV47:AV48"/>
    <mergeCell ref="AX47:AX48"/>
    <mergeCell ref="H45:H46"/>
    <mergeCell ref="G47:G48"/>
    <mergeCell ref="H47:H48"/>
    <mergeCell ref="G49:G50"/>
    <mergeCell ref="H49:H50"/>
    <mergeCell ref="AL45:AL46"/>
    <mergeCell ref="AM45:AM46"/>
    <mergeCell ref="AO45:AO46"/>
    <mergeCell ref="BD68:BL69"/>
    <mergeCell ref="V68:AD69"/>
    <mergeCell ref="A54:C54"/>
    <mergeCell ref="AJ5:AK5"/>
    <mergeCell ref="BA5:BB5"/>
    <mergeCell ref="A69:C69"/>
    <mergeCell ref="A27:A28"/>
    <mergeCell ref="A21:A22"/>
    <mergeCell ref="A15:A16"/>
    <mergeCell ref="E68:M69"/>
    <mergeCell ref="B5:C5"/>
    <mergeCell ref="S5:T5"/>
    <mergeCell ref="AM68:AU69"/>
    <mergeCell ref="D44:R44"/>
    <mergeCell ref="A44:C44"/>
    <mergeCell ref="D29:R29"/>
    <mergeCell ref="C45:C46"/>
    <mergeCell ref="D45:D46"/>
    <mergeCell ref="E45:E46"/>
    <mergeCell ref="C47:C48"/>
    <mergeCell ref="A18:A19"/>
    <mergeCell ref="A24:A25"/>
    <mergeCell ref="A31:C31"/>
    <mergeCell ref="E31:O31"/>
    <mergeCell ref="B36:C36"/>
    <mergeCell ref="S36:T36"/>
    <mergeCell ref="AJ36:AK36"/>
    <mergeCell ref="J45:J46"/>
    <mergeCell ref="K45:K46"/>
    <mergeCell ref="J47:J48"/>
    <mergeCell ref="K47:K48"/>
    <mergeCell ref="J49:J50"/>
    <mergeCell ref="K49:K50"/>
    <mergeCell ref="T47:T48"/>
    <mergeCell ref="U47:U48"/>
    <mergeCell ref="V47:V48"/>
    <mergeCell ref="X47:X48"/>
    <mergeCell ref="Y47:Y48"/>
    <mergeCell ref="AA47:AA48"/>
    <mergeCell ref="AB47:AB48"/>
    <mergeCell ref="AD47:AD48"/>
    <mergeCell ref="AE47:AE48"/>
    <mergeCell ref="AG49:AG50"/>
    <mergeCell ref="BA36:BB36"/>
    <mergeCell ref="M45:M46"/>
    <mergeCell ref="N45:N46"/>
    <mergeCell ref="M47:M48"/>
    <mergeCell ref="N47:N48"/>
    <mergeCell ref="M49:M50"/>
    <mergeCell ref="N49:N50"/>
    <mergeCell ref="P45:P46"/>
    <mergeCell ref="Q45:Q46"/>
    <mergeCell ref="P47:P48"/>
    <mergeCell ref="Q47:Q48"/>
    <mergeCell ref="P49:P50"/>
    <mergeCell ref="Q49:Q50"/>
    <mergeCell ref="AG47:AG48"/>
    <mergeCell ref="AH47:AH48"/>
    <mergeCell ref="V49:V50"/>
    <mergeCell ref="X49:X50"/>
    <mergeCell ref="Y49:Y50"/>
    <mergeCell ref="AA49:AA50"/>
    <mergeCell ref="AB49:AB50"/>
    <mergeCell ref="AD49:AD50"/>
    <mergeCell ref="AE49:AE50"/>
    <mergeCell ref="AH49:AH50"/>
    <mergeCell ref="AK45:AK46"/>
  </mergeCells>
  <phoneticPr fontId="0" type="noConversion"/>
  <pageMargins left="0.11811023622047245" right="0.11811023622047245" top="0.39370078740157483" bottom="0.27559055118110237" header="0.19685039370078741" footer="0.15748031496062992"/>
  <pageSetup paperSize="9" scale="45" fitToWidth="4" orientation="landscape" horizontalDpi="300" verticalDpi="300" r:id="rId1"/>
  <headerFooter alignWithMargins="0">
    <oddFooter>&amp;LDruckdatum: &amp;D&amp;C&amp;F / &amp;A&amp;RSeite &amp;P/&amp;N</oddFooter>
  </headerFooter>
  <rowBreaks count="5" manualBreakCount="5">
    <brk id="31" max="16383" man="1"/>
    <brk id="69" max="16383" man="1"/>
    <brk id="100" max="16383" man="1"/>
    <brk id="138" max="16383" man="1"/>
    <brk id="169" max="16383" man="1"/>
  </rowBreaks>
  <colBreaks count="3" manualBreakCount="3">
    <brk id="18" max="1048575" man="1"/>
    <brk id="35" max="1048575" man="1"/>
    <brk id="52" max="1048575" man="1"/>
  </colBreaks>
  <ignoredErrors>
    <ignoredError sqref="C22:C23 C25:C26 BB14 C16:C17 T16:T17 AK16:AK17 BB16:BB17 C19:C20 T19:T20 AK19:AK20 BB19:BB20 T22:T23 AK22:AK23 BB22:BB23 T25:T26 AK25:AK26 BB25:BB26 C28 T28 AK28 BB28 C14 T14 AK14" numberStoredAsText="1"/>
    <ignoredError sqref="A59"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9"/>
  <sheetViews>
    <sheetView topLeftCell="A15" workbookViewId="0">
      <selection activeCell="H77" sqref="H77"/>
    </sheetView>
  </sheetViews>
  <sheetFormatPr baseColWidth="10" defaultColWidth="11.44140625" defaultRowHeight="13.2"/>
  <cols>
    <col min="1" max="1" width="9" style="124" customWidth="1"/>
    <col min="2" max="2" width="33.44140625" style="124" customWidth="1"/>
    <col min="3" max="3" width="25.6640625" style="124" customWidth="1"/>
    <col min="4" max="4" width="5.5546875" style="124" customWidth="1"/>
    <col min="5" max="6" width="5.109375" style="124" customWidth="1"/>
    <col min="7" max="7" width="29.44140625" style="124" customWidth="1"/>
    <col min="8" max="8" width="26.88671875" style="124" customWidth="1"/>
    <col min="9" max="9" width="2.88671875" style="124" customWidth="1"/>
    <col min="10" max="16384" width="11.44140625" style="124"/>
  </cols>
  <sheetData>
    <row r="1" spans="1:11">
      <c r="A1" s="124" t="str">
        <f>Konfiguration_Configuration!L$1</f>
        <v>Deutsch</v>
      </c>
      <c r="B1" s="124" t="str">
        <f>CONCATENATE(A1,D1)</f>
        <v>DeutschStil Interbronze</v>
      </c>
      <c r="C1" s="124" t="s">
        <v>248</v>
      </c>
      <c r="D1" s="124" t="s">
        <v>249</v>
      </c>
      <c r="E1" s="124">
        <v>6</v>
      </c>
    </row>
    <row r="2" spans="1:11">
      <c r="A2" s="124" t="str">
        <f>Konfiguration_Configuration!M$1</f>
        <v>francais</v>
      </c>
      <c r="B2" s="124" t="str">
        <f t="shared" ref="B2:B3" si="0">CONCATENATE(A2,D2)</f>
        <v>francaisStil Interbronze</v>
      </c>
      <c r="C2" s="124" t="s">
        <v>250</v>
      </c>
      <c r="D2" s="124" t="str">
        <f>D$1</f>
        <v>Stil Interbronze</v>
      </c>
      <c r="E2" s="124">
        <v>6</v>
      </c>
    </row>
    <row r="3" spans="1:11">
      <c r="A3" s="124" t="str">
        <f>Konfiguration_Configuration!N$1</f>
        <v>italiano</v>
      </c>
      <c r="B3" s="124" t="str">
        <f t="shared" si="0"/>
        <v>italianoStil Interbronze</v>
      </c>
      <c r="C3" s="124" t="s">
        <v>251</v>
      </c>
      <c r="D3" s="124" t="str">
        <f>D$1</f>
        <v>Stil Interbronze</v>
      </c>
      <c r="E3" s="124">
        <v>6</v>
      </c>
      <c r="H3" s="216"/>
    </row>
    <row r="4" spans="1:11">
      <c r="C4" s="124" t="str">
        <f>IF(Konfiguration_Configuration!$B$2=Konfiguration_Configuration!$L$1,G4,H4)</f>
        <v>Elemente</v>
      </c>
      <c r="D4" s="216"/>
      <c r="G4" s="124" t="s">
        <v>252</v>
      </c>
      <c r="H4" s="124" t="s">
        <v>253</v>
      </c>
    </row>
    <row r="5" spans="1:11">
      <c r="A5" s="124">
        <v>1</v>
      </c>
      <c r="B5" s="124" t="str">
        <f>CONCATENATE(A5,D$1)</f>
        <v>1Stil Interbronze</v>
      </c>
      <c r="C5" s="124" t="str">
        <f>IF(Konfiguration_Configuration!$B$2=Konfiguration_Configuration!$L$1,G5,H5)</f>
        <v>v Übersetzen</v>
      </c>
      <c r="D5" s="216">
        <v>1</v>
      </c>
      <c r="G5" s="213" t="s">
        <v>254</v>
      </c>
      <c r="H5" s="124" t="s">
        <v>255</v>
      </c>
      <c r="I5" s="152"/>
      <c r="J5" s="217"/>
    </row>
    <row r="6" spans="1:11">
      <c r="A6" s="124">
        <v>2</v>
      </c>
      <c r="B6" s="124" t="str">
        <f t="shared" ref="B6:B13" si="1">CONCATENATE(A6,D$1)</f>
        <v>2Stil Interbronze</v>
      </c>
      <c r="C6" s="124" t="str">
        <f>IF(Konfiguration_Configuration!$B$2=Konfiguration_Configuration!$L$1,G6,H6)</f>
        <v>r Übersetzen</v>
      </c>
      <c r="D6" s="216">
        <v>1</v>
      </c>
      <c r="G6" s="213" t="s">
        <v>256</v>
      </c>
      <c r="H6" s="124" t="s">
        <v>257</v>
      </c>
      <c r="I6" s="152"/>
      <c r="J6" s="152"/>
    </row>
    <row r="7" spans="1:11">
      <c r="A7" s="124">
        <v>3</v>
      </c>
      <c r="B7" s="124" t="str">
        <f t="shared" si="1"/>
        <v>3Stil Interbronze</v>
      </c>
      <c r="C7" s="124" t="str">
        <f>IF(Konfiguration_Configuration!$B$2=Konfiguration_Configuration!$L$1,G7,H7)</f>
        <v>va Dr-re Dr</v>
      </c>
      <c r="D7" s="216">
        <v>1</v>
      </c>
      <c r="F7" s="124">
        <v>1</v>
      </c>
      <c r="G7" s="124" t="s">
        <v>258</v>
      </c>
      <c r="H7" s="124" t="s">
        <v>259</v>
      </c>
      <c r="I7" s="152"/>
      <c r="J7" s="152"/>
    </row>
    <row r="8" spans="1:11">
      <c r="A8" s="124">
        <v>4</v>
      </c>
      <c r="B8" s="124" t="str">
        <f t="shared" si="1"/>
        <v>4Stil Interbronze</v>
      </c>
      <c r="C8" s="124" t="str">
        <f>IF(Konfiguration_Configuration!$B$2=Konfiguration_Configuration!$L$1,G8,H8)</f>
        <v>ve Dr-ra Dr</v>
      </c>
      <c r="D8" s="216">
        <v>1</v>
      </c>
      <c r="F8" s="124">
        <v>1</v>
      </c>
      <c r="G8" s="213" t="s">
        <v>260</v>
      </c>
      <c r="H8" s="124" t="s">
        <v>261</v>
      </c>
      <c r="I8" s="152"/>
      <c r="J8" s="152"/>
    </row>
    <row r="9" spans="1:11">
      <c r="A9" s="124">
        <v>5</v>
      </c>
      <c r="B9" s="124" t="str">
        <f t="shared" si="1"/>
        <v>5Stil Interbronze</v>
      </c>
      <c r="C9" s="124" t="str">
        <f>IF(Konfiguration_Configuration!$B$2=Konfiguration_Configuration!$L$1,G9,H9)</f>
        <v>A: Schl+oMo / B: 2 versch. Schl+Mo</v>
      </c>
      <c r="D9" s="216">
        <v>1</v>
      </c>
      <c r="G9" s="214" t="s">
        <v>262</v>
      </c>
      <c r="H9" s="124" t="s">
        <v>263</v>
      </c>
      <c r="I9" s="218"/>
      <c r="J9" s="218"/>
    </row>
    <row r="10" spans="1:11">
      <c r="A10" s="124">
        <v>10</v>
      </c>
      <c r="B10" s="124" t="str">
        <f t="shared" si="1"/>
        <v>10Stil Interbronze</v>
      </c>
      <c r="D10" s="216">
        <f>SUM(D5:D9)</f>
        <v>5</v>
      </c>
      <c r="H10" s="216"/>
    </row>
    <row r="11" spans="1:11">
      <c r="A11" s="124">
        <v>11</v>
      </c>
      <c r="B11" s="124" t="str">
        <f t="shared" si="1"/>
        <v>11Stil Interbronze</v>
      </c>
      <c r="C11" s="124" t="str">
        <f>IF(Konfiguration_Configuration!$B$2=Konfiguration_Configuration!$L$1,G11,H11)</f>
        <v>Total pro Preisrichter</v>
      </c>
      <c r="D11" s="216"/>
      <c r="G11" s="213" t="s">
        <v>264</v>
      </c>
      <c r="H11" s="213" t="s">
        <v>265</v>
      </c>
    </row>
    <row r="12" spans="1:11">
      <c r="A12" s="124">
        <v>12</v>
      </c>
      <c r="B12" s="124" t="str">
        <f t="shared" si="1"/>
        <v>12Stil Interbronze</v>
      </c>
      <c r="C12" s="124" t="str">
        <f>IF(Konfiguration_Configuration!$B$2=Konfiguration_Configuration!$L$1,G12,H12)</f>
        <v xml:space="preserve">Zum Bestehen des 1. Teils braucht der Läufer die Punktzahl der BASE bei der Mehrheit der Preisrichter und bei der Mehrheit der Elemente. </v>
      </c>
      <c r="D12" s="216"/>
      <c r="G12" s="214" t="s">
        <v>266</v>
      </c>
      <c r="H12" s="214" t="s">
        <v>267</v>
      </c>
    </row>
    <row r="13" spans="1:11" ht="15.6">
      <c r="A13" s="124">
        <v>13</v>
      </c>
      <c r="B13" s="124" t="str">
        <f t="shared" si="1"/>
        <v>13Stil Interbronze</v>
      </c>
      <c r="C13" s="124" t="str">
        <f>IF(Konfiguration_Configuration!$B$2=Konfiguration_Configuration!$L$1,G13,H13)</f>
        <v>1. Teil bestanden:  ja  nein</v>
      </c>
      <c r="D13" s="216"/>
      <c r="G13" s="213" t="s">
        <v>268</v>
      </c>
      <c r="H13" s="213" t="s">
        <v>269</v>
      </c>
      <c r="I13" s="213"/>
      <c r="J13" s="213"/>
      <c r="K13" s="213"/>
    </row>
    <row r="14" spans="1:11">
      <c r="A14" s="124">
        <v>21</v>
      </c>
      <c r="B14" s="124" t="str">
        <f t="shared" ref="B14" si="2">CONCATENATE(A14,D$1)</f>
        <v>21Stil Interbronze</v>
      </c>
      <c r="C14" s="124" t="str">
        <f>IF(Konfiguration_Configuration!$B$2=Konfiguration_Configuration!$L$1,G14,H14)</f>
        <v>Vorgeschriebene Schritte (TES)</v>
      </c>
      <c r="D14" s="216"/>
      <c r="G14" s="213" t="s">
        <v>270</v>
      </c>
      <c r="H14" s="213" t="s">
        <v>271</v>
      </c>
      <c r="I14" s="213"/>
      <c r="J14" s="213"/>
      <c r="K14" s="213"/>
    </row>
    <row r="15" spans="1:11">
      <c r="A15" s="124">
        <v>22</v>
      </c>
      <c r="B15" s="124" t="str">
        <f t="shared" ref="B15:B17" si="3">CONCATENATE(A15,D$1)</f>
        <v>22Stil Interbronze</v>
      </c>
      <c r="C15" s="124" t="str">
        <f>IF(Konfiguration_Configuration!$B$2=Konfiguration_Configuration!$L$1,G15,H15)</f>
        <v>½ ChSqC</v>
      </c>
      <c r="D15" s="216">
        <v>0.6</v>
      </c>
      <c r="G15" s="214" t="s">
        <v>343</v>
      </c>
      <c r="H15" s="213" t="s">
        <v>343</v>
      </c>
      <c r="I15" s="213"/>
      <c r="J15" s="213"/>
      <c r="K15" s="213"/>
    </row>
    <row r="16" spans="1:11">
      <c r="A16" s="124">
        <v>23</v>
      </c>
      <c r="B16" s="124" t="str">
        <f t="shared" si="3"/>
        <v>23Stil Interbronze</v>
      </c>
      <c r="C16" s="124" t="str">
        <f>IF(Konfiguration_Configuration!$B$2=Konfiguration_Configuration!$L$1,G16,H16)</f>
        <v>½ Kreisschritt</v>
      </c>
      <c r="D16" s="216">
        <v>0.6</v>
      </c>
      <c r="G16" s="214" t="s">
        <v>272</v>
      </c>
      <c r="H16" s="213" t="s">
        <v>273</v>
      </c>
      <c r="I16" s="213"/>
      <c r="J16" s="213"/>
      <c r="K16" s="213"/>
    </row>
    <row r="17" spans="1:12">
      <c r="A17" s="124">
        <v>24</v>
      </c>
      <c r="B17" s="124" t="str">
        <f t="shared" si="3"/>
        <v>24Stil Interbronze</v>
      </c>
      <c r="C17" s="124" t="str">
        <f>IF(Konfiguration_Configuration!$B$2=Konfiguration_Configuration!$L$1,G17,H17)</f>
        <v>½ Längsschritt</v>
      </c>
      <c r="D17" s="216">
        <v>0.6</v>
      </c>
      <c r="G17" s="214" t="s">
        <v>274</v>
      </c>
      <c r="H17" s="213" t="s">
        <v>275</v>
      </c>
      <c r="I17" s="213"/>
      <c r="J17" s="213"/>
      <c r="K17" s="213"/>
    </row>
    <row r="18" spans="1:12">
      <c r="A18" s="124">
        <v>31</v>
      </c>
      <c r="B18" s="124" t="str">
        <f>CONCATENATE(A18,D$1)</f>
        <v>31Stil Interbronze</v>
      </c>
      <c r="C18" s="124" t="str">
        <f>IF(Konfiguration_Configuration!$B$2=Konfiguration_Configuration!$L$1,G18,H18)</f>
        <v>Program Components (PCS)</v>
      </c>
      <c r="D18" s="216"/>
      <c r="G18" s="213" t="s">
        <v>276</v>
      </c>
      <c r="H18" s="213" t="s">
        <v>276</v>
      </c>
      <c r="I18" s="213"/>
      <c r="J18" s="213"/>
      <c r="K18" s="213"/>
    </row>
    <row r="19" spans="1:12">
      <c r="A19" s="124">
        <v>32</v>
      </c>
      <c r="B19" s="124" t="str">
        <f t="shared" ref="B19:B29" si="4">CONCATENATE(A19,D$1)</f>
        <v>32Stil Interbronze</v>
      </c>
      <c r="C19" s="124" t="str">
        <f>IF(Konfiguration_Configuration!$B$2=Konfiguration_Configuration!$L$1,G19,H19)</f>
        <v>Presentation</v>
      </c>
      <c r="D19" s="216">
        <v>1.5</v>
      </c>
      <c r="G19" s="213" t="s">
        <v>277</v>
      </c>
      <c r="H19" s="213" t="s">
        <v>277</v>
      </c>
      <c r="I19" s="213"/>
      <c r="J19" s="213"/>
      <c r="K19" s="213"/>
    </row>
    <row r="20" spans="1:12">
      <c r="A20" s="124">
        <v>33</v>
      </c>
      <c r="B20" s="124" t="str">
        <f t="shared" si="4"/>
        <v>33Stil Interbronze</v>
      </c>
      <c r="C20" s="124" t="str">
        <f>IF(Konfiguration_Configuration!$B$2=Konfiguration_Configuration!$L$1,G20,H20)</f>
        <v>Skating Skills</v>
      </c>
      <c r="D20" s="216">
        <v>1.5</v>
      </c>
      <c r="G20" s="215" t="s">
        <v>278</v>
      </c>
      <c r="H20" s="215" t="s">
        <v>279</v>
      </c>
      <c r="I20" s="213"/>
      <c r="J20" s="213"/>
      <c r="K20" s="213"/>
    </row>
    <row r="21" spans="1:12">
      <c r="A21" s="124">
        <v>34</v>
      </c>
      <c r="B21" s="124" t="str">
        <f t="shared" si="4"/>
        <v>34Stil Interbronze</v>
      </c>
      <c r="C21" s="124">
        <f>IF(Konfiguration_Configuration!$B$2=Konfiguration_Configuration!$L$1,G21,H21)</f>
        <v>0</v>
      </c>
      <c r="D21" s="216"/>
      <c r="G21" s="215"/>
      <c r="H21" s="215"/>
      <c r="I21" s="213"/>
      <c r="J21" s="213"/>
      <c r="K21" s="213"/>
    </row>
    <row r="22" spans="1:12">
      <c r="A22" s="124">
        <v>41</v>
      </c>
      <c r="B22" s="124" t="str">
        <f t="shared" si="4"/>
        <v>41Stil Interbronze</v>
      </c>
      <c r="C22" s="124" t="str">
        <f>IF(Konfiguration_Configuration!$B$2=Konfiguration_Configuration!$L$1,G22,H22)</f>
        <v>Sturz</v>
      </c>
      <c r="D22" s="228">
        <v>-0.25</v>
      </c>
      <c r="G22" s="213" t="s">
        <v>280</v>
      </c>
      <c r="H22" s="213" t="s">
        <v>281</v>
      </c>
      <c r="I22" s="213"/>
      <c r="J22" s="213"/>
      <c r="K22" s="213"/>
    </row>
    <row r="23" spans="1:12">
      <c r="D23" s="228"/>
      <c r="G23" s="213"/>
      <c r="H23" s="213"/>
      <c r="I23" s="213"/>
      <c r="J23" s="213"/>
      <c r="K23" s="213"/>
    </row>
    <row r="24" spans="1:12">
      <c r="A24" s="124">
        <v>51</v>
      </c>
      <c r="B24" s="124" t="str">
        <f t="shared" si="4"/>
        <v>51Stil Interbronze</v>
      </c>
      <c r="C24" s="124" t="str">
        <f>IF(Konfiguration_Configuration!$B$2=Konfiguration_Configuration!$L$1,G24,H24)</f>
        <v>2 Komponenten:</v>
      </c>
      <c r="D24" s="228"/>
      <c r="G24" s="230" t="s">
        <v>282</v>
      </c>
      <c r="H24" s="230" t="s">
        <v>283</v>
      </c>
      <c r="I24"/>
      <c r="J24"/>
      <c r="K24"/>
      <c r="L24"/>
    </row>
    <row r="25" spans="1:12">
      <c r="A25" s="124">
        <v>52</v>
      </c>
      <c r="B25" s="124" t="str">
        <f t="shared" si="4"/>
        <v>52Stil Interbronze</v>
      </c>
      <c r="C25" s="124" t="str">
        <f>IF(Konfiguration_Configuration!$B$2=Konfiguration_Configuration!$L$1,G25,H25)</f>
        <v>Die Punktzahl beträgt für den (0,6 pro Schritt) TES: 1,8 Punkte</v>
      </c>
      <c r="D25" s="228"/>
      <c r="G25" s="214" t="s">
        <v>284</v>
      </c>
      <c r="H25" s="214" t="s">
        <v>285</v>
      </c>
      <c r="I25"/>
      <c r="J25" s="214"/>
      <c r="K25" s="214"/>
      <c r="L25"/>
    </row>
    <row r="26" spans="1:12">
      <c r="A26" s="124">
        <v>53</v>
      </c>
      <c r="B26" s="124" t="str">
        <f t="shared" si="4"/>
        <v>53Stil Interbronze</v>
      </c>
      <c r="C26" s="124" t="str">
        <f>IF(Konfiguration_Configuration!$B$2=Konfiguration_Configuration!$L$1,G26,H26)</f>
        <v>und einen Durchschnitt von 1,5 x 2 PCS: 3,0 Punkte</v>
      </c>
      <c r="D26" s="228"/>
      <c r="G26" s="214" t="s">
        <v>286</v>
      </c>
      <c r="H26" s="214" t="s">
        <v>287</v>
      </c>
      <c r="I26"/>
      <c r="J26"/>
      <c r="K26" s="214"/>
      <c r="L26" s="214"/>
    </row>
    <row r="27" spans="1:12">
      <c r="A27" s="124">
        <v>54</v>
      </c>
      <c r="B27" s="124" t="str">
        <f t="shared" si="4"/>
        <v>54Stil Interbronze</v>
      </c>
      <c r="C27" s="124" t="str">
        <f>IF(Konfiguration_Configuration!$B$2=Konfiguration_Configuration!$L$1,G27,H27)</f>
        <v>Sturz: (-0,25 pro Sturz)</v>
      </c>
      <c r="D27" s="228"/>
      <c r="G27" s="214" t="s">
        <v>288</v>
      </c>
      <c r="H27" s="214" t="s">
        <v>289</v>
      </c>
      <c r="I27"/>
      <c r="J27"/>
      <c r="K27"/>
      <c r="L27"/>
    </row>
    <row r="28" spans="1:12">
      <c r="A28" s="124">
        <v>55</v>
      </c>
      <c r="B28" s="124" t="str">
        <f t="shared" si="4"/>
        <v>55Stil Interbronze</v>
      </c>
      <c r="C28" s="124" t="str">
        <f>IF(Konfiguration_Configuration!$B$2=Konfiguration_Configuration!$L$1,G28,H28)</f>
        <v>zum Bestehen braucht der Läufer: TSS 4,8 Punkte</v>
      </c>
      <c r="D28" s="216">
        <f>SUM(D15:D21)</f>
        <v>4.8</v>
      </c>
      <c r="G28" s="213" t="s">
        <v>290</v>
      </c>
      <c r="H28" s="214" t="s">
        <v>291</v>
      </c>
      <c r="I28"/>
      <c r="J28" s="231"/>
      <c r="K28" s="214"/>
      <c r="L28"/>
    </row>
    <row r="29" spans="1:12">
      <c r="A29" s="124">
        <v>56</v>
      </c>
      <c r="B29" s="124" t="str">
        <f t="shared" si="4"/>
        <v>56Stil Interbronze</v>
      </c>
      <c r="C29" s="124" t="str">
        <f>IF(Konfiguration_Configuration!$B$2=Konfiguration_Configuration!$L$1,G29,H29)</f>
        <v>Unterschrift des Preisrichters __________________________________</v>
      </c>
      <c r="D29" s="228"/>
      <c r="G29" s="213" t="s">
        <v>292</v>
      </c>
      <c r="H29" s="213" t="s">
        <v>293</v>
      </c>
      <c r="I29" s="213"/>
      <c r="J29" s="213"/>
      <c r="K29" s="213"/>
    </row>
    <row r="30" spans="1:12">
      <c r="D30" s="228"/>
      <c r="G30" s="213"/>
      <c r="H30" s="213"/>
      <c r="I30" s="213"/>
      <c r="J30" s="213"/>
      <c r="K30" s="213"/>
    </row>
    <row r="31" spans="1:12">
      <c r="A31" s="124" t="str">
        <f>Konfiguration_Configuration!L$1</f>
        <v>Deutsch</v>
      </c>
      <c r="B31" s="124" t="str">
        <f>CONCATENATE(A31,D31)</f>
        <v>DeutschStil Bronze</v>
      </c>
      <c r="C31" s="124" t="s">
        <v>6</v>
      </c>
      <c r="D31" s="124" t="s">
        <v>294</v>
      </c>
      <c r="E31" s="124">
        <v>5</v>
      </c>
      <c r="I31" s="213"/>
      <c r="J31" s="213"/>
      <c r="K31" s="213"/>
    </row>
    <row r="32" spans="1:12">
      <c r="A32" s="124" t="str">
        <f>Konfiguration_Configuration!M$1</f>
        <v>francais</v>
      </c>
      <c r="B32" s="124" t="str">
        <f t="shared" ref="B32:B33" si="5">CONCATENATE(A32,D32)</f>
        <v>francaisStil Bronze</v>
      </c>
      <c r="C32" s="124" t="s">
        <v>295</v>
      </c>
      <c r="D32" s="124" t="str">
        <f>D$31</f>
        <v>Stil Bronze</v>
      </c>
      <c r="E32" s="124">
        <v>5</v>
      </c>
      <c r="I32" s="213"/>
      <c r="J32" s="213"/>
      <c r="K32" s="213"/>
    </row>
    <row r="33" spans="1:11">
      <c r="A33" s="124" t="str">
        <f>Konfiguration_Configuration!N$1</f>
        <v>italiano</v>
      </c>
      <c r="B33" s="124" t="str">
        <f t="shared" si="5"/>
        <v>italianoStil Bronze</v>
      </c>
      <c r="C33" s="124" t="s">
        <v>296</v>
      </c>
      <c r="D33" s="124" t="str">
        <f>D$31</f>
        <v>Stil Bronze</v>
      </c>
      <c r="E33" s="124">
        <v>5</v>
      </c>
      <c r="H33" s="216"/>
      <c r="I33" s="213"/>
      <c r="J33" s="213"/>
      <c r="K33" s="213"/>
    </row>
    <row r="34" spans="1:11">
      <c r="C34" s="124" t="str">
        <f>IF(Konfiguration_Configuration!$B$2=Konfiguration_Configuration!$L$1,G34,H34)</f>
        <v>Elemente</v>
      </c>
      <c r="D34" s="216"/>
      <c r="G34" s="124" t="s">
        <v>252</v>
      </c>
      <c r="H34" s="124" t="s">
        <v>253</v>
      </c>
    </row>
    <row r="35" spans="1:11">
      <c r="A35" s="124">
        <v>1</v>
      </c>
      <c r="B35" s="124" t="str">
        <f t="shared" ref="B35:B43" si="6">CONCATENATE(A35,D$31)</f>
        <v>1Stil Bronze</v>
      </c>
      <c r="C35" s="124" t="str">
        <f>IF(Konfiguration_Configuration!$B$2=Konfiguration_Configuration!$L$1,G35,H35)</f>
        <v>r Übersetzen</v>
      </c>
      <c r="D35" s="216">
        <v>1.2</v>
      </c>
      <c r="G35" s="213" t="s">
        <v>256</v>
      </c>
      <c r="H35" s="213" t="s">
        <v>257</v>
      </c>
    </row>
    <row r="36" spans="1:11">
      <c r="A36" s="124">
        <v>2</v>
      </c>
      <c r="B36" s="124" t="str">
        <f t="shared" si="6"/>
        <v>2Stil Bronze</v>
      </c>
      <c r="C36" s="124" t="str">
        <f>IF(Konfiguration_Configuration!$B$2=Konfiguration_Configuration!$L$1,G36,H36)</f>
        <v>va Doppeldr</v>
      </c>
      <c r="D36" s="216">
        <v>1.2</v>
      </c>
      <c r="G36" s="213" t="s">
        <v>297</v>
      </c>
      <c r="H36" s="213" t="s">
        <v>298</v>
      </c>
    </row>
    <row r="37" spans="1:11">
      <c r="A37" s="124">
        <v>3</v>
      </c>
      <c r="B37" s="124" t="str">
        <f t="shared" si="6"/>
        <v>3Stil Bronze</v>
      </c>
      <c r="C37" s="124" t="str">
        <f>IF(Konfiguration_Configuration!$B$2=Konfiguration_Configuration!$L$1,G37,H37)</f>
        <v>ve Doppeldr</v>
      </c>
      <c r="D37" s="216">
        <v>1.2</v>
      </c>
      <c r="G37" s="213" t="s">
        <v>299</v>
      </c>
      <c r="H37" s="213" t="s">
        <v>300</v>
      </c>
    </row>
    <row r="38" spans="1:11">
      <c r="A38" s="124">
        <v>4</v>
      </c>
      <c r="B38" s="124" t="str">
        <f t="shared" si="6"/>
        <v>4Stil Bronze</v>
      </c>
      <c r="C38" s="124" t="str">
        <f>IF(Konfiguration_Configuration!$B$2=Konfiguration_Configuration!$L$1,G38,H38)</f>
        <v>ve/ra GDr</v>
      </c>
      <c r="D38" s="216">
        <v>1.2</v>
      </c>
      <c r="F38" s="124">
        <v>1</v>
      </c>
      <c r="G38" s="213" t="s">
        <v>301</v>
      </c>
      <c r="H38" s="213" t="s">
        <v>302</v>
      </c>
      <c r="I38" s="218"/>
      <c r="J38" s="218"/>
    </row>
    <row r="39" spans="1:11">
      <c r="A39" s="124">
        <v>5</v>
      </c>
      <c r="B39" s="124" t="str">
        <f t="shared" si="6"/>
        <v>5Stil Bronze</v>
      </c>
      <c r="C39" s="124" t="str">
        <f>IF(Konfiguration_Configuration!$B$2=Konfiguration_Configuration!$L$1,G39,H39)</f>
        <v>A: Dr-DDr-r Schl / B: 2versch.rDr+2versch.rSchl</v>
      </c>
      <c r="D39" s="216">
        <v>1.2</v>
      </c>
      <c r="G39" s="213" t="s">
        <v>303</v>
      </c>
      <c r="H39" s="213" t="s">
        <v>304</v>
      </c>
      <c r="I39" s="218"/>
      <c r="J39" s="218"/>
    </row>
    <row r="40" spans="1:11">
      <c r="A40" s="124">
        <v>10</v>
      </c>
      <c r="B40" s="124" t="str">
        <f t="shared" si="6"/>
        <v>10Stil Bronze</v>
      </c>
      <c r="D40" s="216">
        <f>SUM(D35:D39)</f>
        <v>6</v>
      </c>
      <c r="H40" s="216"/>
      <c r="I40" s="218"/>
      <c r="J40" s="218"/>
    </row>
    <row r="41" spans="1:11">
      <c r="A41" s="124">
        <v>11</v>
      </c>
      <c r="B41" s="124" t="str">
        <f t="shared" si="6"/>
        <v>11Stil Bronze</v>
      </c>
      <c r="C41" s="124" t="str">
        <f>IF(Konfiguration_Configuration!$B$2=Konfiguration_Configuration!$L$1,G41,H41)</f>
        <v>Total pro Preisrichter</v>
      </c>
      <c r="D41" s="216"/>
      <c r="G41" s="213" t="s">
        <v>264</v>
      </c>
      <c r="H41" s="213" t="s">
        <v>265</v>
      </c>
      <c r="I41" s="218"/>
      <c r="J41" s="218"/>
    </row>
    <row r="42" spans="1:11">
      <c r="A42" s="124">
        <v>12</v>
      </c>
      <c r="B42" s="124" t="str">
        <f t="shared" si="6"/>
        <v>12Stil Bronze</v>
      </c>
      <c r="C42" s="124" t="str">
        <f>IF(Konfiguration_Configuration!$B$2=Konfiguration_Configuration!$L$1,G42,H42)</f>
        <v xml:space="preserve">Zum Bestehen des 1. Teils braucht der Läufer die Punktzahl der BASE bei der Mehrheit der Preisrichter und bei der Mehrheit der Elemente. </v>
      </c>
      <c r="D42" s="216"/>
      <c r="G42" s="214" t="s">
        <v>266</v>
      </c>
      <c r="H42" s="214" t="s">
        <v>267</v>
      </c>
      <c r="I42" s="218"/>
      <c r="J42" s="218"/>
    </row>
    <row r="43" spans="1:11" ht="15.6">
      <c r="A43" s="124">
        <v>13</v>
      </c>
      <c r="B43" s="124" t="str">
        <f t="shared" si="6"/>
        <v>13Stil Bronze</v>
      </c>
      <c r="C43" s="124" t="str">
        <f>IF(Konfiguration_Configuration!$B$2=Konfiguration_Configuration!$L$1,G43,H43)</f>
        <v>1. Teil bestanden:  ja  nein  Unterschrift des Preisrichters</v>
      </c>
      <c r="D43" s="216"/>
      <c r="G43" s="213" t="s">
        <v>305</v>
      </c>
      <c r="H43" s="213" t="s">
        <v>306</v>
      </c>
      <c r="I43" s="218"/>
      <c r="J43" s="218"/>
    </row>
    <row r="44" spans="1:11">
      <c r="A44" s="124">
        <v>21</v>
      </c>
      <c r="B44" s="124" t="str">
        <f t="shared" ref="B44:B52" si="7">CONCATENATE(A44,D$31)</f>
        <v>21Stil Bronze</v>
      </c>
      <c r="C44" s="124" t="str">
        <f>IF(Konfiguration_Configuration!$B$2=Konfiguration_Configuration!$L$1,G44,H44)</f>
        <v>Vorgeschriebene Schritte (TES)</v>
      </c>
      <c r="D44" s="216"/>
      <c r="G44" s="213" t="s">
        <v>270</v>
      </c>
      <c r="H44" s="213" t="s">
        <v>271</v>
      </c>
      <c r="I44" s="218"/>
      <c r="J44" s="218"/>
    </row>
    <row r="45" spans="1:11">
      <c r="A45" s="124">
        <v>22</v>
      </c>
      <c r="B45" s="124" t="str">
        <f t="shared" si="7"/>
        <v>22Stil Bronze</v>
      </c>
      <c r="C45" s="124" t="str">
        <f>IF(Konfiguration_Configuration!$B$2=Konfiguration_Configuration!$L$1,G45,H45)</f>
        <v>ChSqD</v>
      </c>
      <c r="D45" s="216">
        <v>1.2</v>
      </c>
      <c r="G45" s="214" t="s">
        <v>344</v>
      </c>
      <c r="H45" s="213" t="s">
        <v>344</v>
      </c>
    </row>
    <row r="46" spans="1:11">
      <c r="A46" s="124">
        <v>23</v>
      </c>
      <c r="B46" s="124" t="str">
        <f t="shared" si="7"/>
        <v>23Stil Bronze</v>
      </c>
      <c r="C46" s="124" t="str">
        <f>IF(Konfiguration_Configuration!$B$2=Konfiguration_Configuration!$L$1,G46,H46)</f>
        <v>Schritt-Sequenz. Das Spurenbild ist frei, muss jedoch klar ersichtlich sein</v>
      </c>
      <c r="D46" s="216">
        <v>1.2</v>
      </c>
      <c r="G46" s="213" t="s">
        <v>346</v>
      </c>
      <c r="H46" s="213" t="s">
        <v>345</v>
      </c>
    </row>
    <row r="47" spans="1:11">
      <c r="A47" s="124">
        <v>24</v>
      </c>
      <c r="B47" s="124" t="str">
        <f t="shared" si="7"/>
        <v>24Stil Bronze</v>
      </c>
      <c r="C47" s="124">
        <f>IF(Konfiguration_Configuration!$B$2=Konfiguration_Configuration!$L$1,G47,H47)</f>
        <v>0</v>
      </c>
      <c r="D47" s="216"/>
      <c r="G47" s="214"/>
      <c r="H47" s="213"/>
    </row>
    <row r="48" spans="1:11">
      <c r="A48" s="124">
        <v>31</v>
      </c>
      <c r="B48" s="124" t="str">
        <f t="shared" si="7"/>
        <v>31Stil Bronze</v>
      </c>
      <c r="C48" s="124" t="str">
        <f>IF(Konfiguration_Configuration!$B$2=Konfiguration_Configuration!$L$1,G48,H48)</f>
        <v>Program Components (PCS)</v>
      </c>
      <c r="D48" s="216"/>
      <c r="G48" s="213" t="s">
        <v>276</v>
      </c>
      <c r="H48" s="213" t="s">
        <v>276</v>
      </c>
    </row>
    <row r="49" spans="1:8">
      <c r="A49" s="124">
        <v>32</v>
      </c>
      <c r="B49" s="124" t="str">
        <f t="shared" si="7"/>
        <v>32Stil Bronze</v>
      </c>
      <c r="C49" s="124" t="str">
        <f>IF(Konfiguration_Configuration!$B$2=Konfiguration_Configuration!$L$1,G49,H49)</f>
        <v>Presentation</v>
      </c>
      <c r="D49" s="216">
        <v>2</v>
      </c>
      <c r="G49" s="215" t="s">
        <v>277</v>
      </c>
      <c r="H49" s="215" t="s">
        <v>277</v>
      </c>
    </row>
    <row r="50" spans="1:8">
      <c r="A50" s="124">
        <v>33</v>
      </c>
      <c r="B50" s="124" t="str">
        <f t="shared" si="7"/>
        <v>33Stil Bronze</v>
      </c>
      <c r="C50" s="124" t="str">
        <f>IF(Konfiguration_Configuration!$B$2=Konfiguration_Configuration!$L$1,G50,H50)</f>
        <v>Skating Skills</v>
      </c>
      <c r="D50" s="216">
        <v>2</v>
      </c>
      <c r="G50" s="215" t="s">
        <v>278</v>
      </c>
      <c r="H50" s="215" t="s">
        <v>278</v>
      </c>
    </row>
    <row r="51" spans="1:8">
      <c r="A51" s="124">
        <v>34</v>
      </c>
      <c r="B51" s="124" t="str">
        <f t="shared" si="7"/>
        <v>34Stil Bronze</v>
      </c>
      <c r="C51" s="124">
        <f>IF(Konfiguration_Configuration!$B$2=Konfiguration_Configuration!$L$1,G51,H51)</f>
        <v>0</v>
      </c>
      <c r="D51" s="216"/>
      <c r="G51" s="215"/>
      <c r="H51" s="215"/>
    </row>
    <row r="52" spans="1:8">
      <c r="A52" s="124">
        <v>41</v>
      </c>
      <c r="B52" s="124" t="str">
        <f t="shared" si="7"/>
        <v>41Stil Bronze</v>
      </c>
      <c r="C52" s="124" t="str">
        <f>IF(Konfiguration_Configuration!$B$2=Konfiguration_Configuration!$L$1,G52,H52)</f>
        <v>Sturz</v>
      </c>
      <c r="D52" s="228">
        <v>-0.25</v>
      </c>
      <c r="G52" s="213" t="s">
        <v>280</v>
      </c>
      <c r="H52" s="213" t="s">
        <v>281</v>
      </c>
    </row>
    <row r="53" spans="1:8">
      <c r="D53" s="228"/>
      <c r="G53" s="213"/>
      <c r="H53" s="213"/>
    </row>
    <row r="54" spans="1:8">
      <c r="A54" s="124">
        <v>51</v>
      </c>
      <c r="B54" s="124" t="str">
        <f>CONCATENATE(A54,D$31)</f>
        <v>51Stil Bronze</v>
      </c>
      <c r="C54" s="124" t="str">
        <f>IF(Konfiguration_Configuration!$B$2=Konfiguration_Configuration!$L$1,G54,H54)</f>
        <v>2 Komponenten:</v>
      </c>
      <c r="D54" s="228"/>
      <c r="G54" s="230" t="s">
        <v>282</v>
      </c>
      <c r="H54" s="230" t="s">
        <v>283</v>
      </c>
    </row>
    <row r="55" spans="1:8">
      <c r="A55" s="124">
        <v>52</v>
      </c>
      <c r="B55" s="124" t="str">
        <f>CONCATENATE(A55,D$31)</f>
        <v>52Stil Bronze</v>
      </c>
      <c r="C55" s="124" t="str">
        <f>IF(Konfiguration_Configuration!$B$2=Konfiguration_Configuration!$L$1,G55,H55)</f>
        <v>Die Punktzahl beträgt für den (1,2 pro Schritt) TES: 2,4 Punkte</v>
      </c>
      <c r="D55" s="228"/>
      <c r="G55" s="214" t="s">
        <v>307</v>
      </c>
      <c r="H55" s="214" t="s">
        <v>308</v>
      </c>
    </row>
    <row r="56" spans="1:8">
      <c r="A56" s="124">
        <v>53</v>
      </c>
      <c r="B56" s="124" t="str">
        <f>CONCATENATE(A56,D$31)</f>
        <v>53Stil Bronze</v>
      </c>
      <c r="C56" s="124" t="str">
        <f>IF(Konfiguration_Configuration!$B$2=Konfiguration_Configuration!$L$1,G56,H56)</f>
        <v>und einen Durchschnitt von 2,0 x 2 PCS: 4,0 Punkte</v>
      </c>
      <c r="D56" s="228"/>
      <c r="G56" s="214" t="s">
        <v>309</v>
      </c>
      <c r="H56" s="214" t="s">
        <v>310</v>
      </c>
    </row>
    <row r="57" spans="1:8">
      <c r="A57" s="124">
        <v>54</v>
      </c>
      <c r="B57" s="124" t="str">
        <f>CONCATENATE(A57,D$31)</f>
        <v>54Stil Bronze</v>
      </c>
      <c r="C57" s="124" t="str">
        <f>IF(Konfiguration_Configuration!$B$2=Konfiguration_Configuration!$L$1,G57,H57)</f>
        <v>Sturz: (-0,25 pro Sturz)</v>
      </c>
      <c r="D57" s="228"/>
      <c r="G57" s="214" t="s">
        <v>288</v>
      </c>
      <c r="H57" s="214" t="s">
        <v>289</v>
      </c>
    </row>
    <row r="58" spans="1:8">
      <c r="A58" s="124">
        <v>55</v>
      </c>
      <c r="B58" s="124" t="str">
        <f>CONCATENATE(A58,D$31)</f>
        <v>55Stil Bronze</v>
      </c>
      <c r="C58" s="124" t="str">
        <f>IF(Konfiguration_Configuration!$B$2=Konfiguration_Configuration!$L$1,G58,H58)</f>
        <v>zum Bestehen braucht der Läufer: TSS 6,4 Punkte</v>
      </c>
      <c r="D58" s="216">
        <f>SUM(D45:D51)</f>
        <v>6.4</v>
      </c>
      <c r="G58" s="213" t="s">
        <v>311</v>
      </c>
      <c r="H58" s="214" t="s">
        <v>312</v>
      </c>
    </row>
    <row r="59" spans="1:8">
      <c r="A59" s="124">
        <v>56</v>
      </c>
      <c r="B59" s="124" t="str">
        <f t="shared" ref="B59" si="8">CONCATENATE(A59,D$1)</f>
        <v>56Stil Interbronze</v>
      </c>
      <c r="C59" s="124" t="str">
        <f>IF(Konfiguration_Configuration!$B$2=Konfiguration_Configuration!$L$1,G59,H59)</f>
        <v>Unterschrift des Preisrichters __________________________________</v>
      </c>
      <c r="D59" s="228"/>
      <c r="G59" s="213" t="s">
        <v>292</v>
      </c>
      <c r="H59" s="213" t="s">
        <v>293</v>
      </c>
    </row>
    <row r="61" spans="1:8">
      <c r="A61" s="124" t="str">
        <f>Konfiguration_Configuration!L$1</f>
        <v>Deutsch</v>
      </c>
      <c r="B61" s="124" t="str">
        <f>CONCATENATE(A61,D61)</f>
        <v>DeutschStil Intersilber</v>
      </c>
      <c r="C61" s="124" t="s">
        <v>313</v>
      </c>
      <c r="D61" s="124" t="s">
        <v>314</v>
      </c>
      <c r="E61" s="124">
        <v>4</v>
      </c>
    </row>
    <row r="62" spans="1:8">
      <c r="A62" s="124" t="str">
        <f>Konfiguration_Configuration!M$1</f>
        <v>francais</v>
      </c>
      <c r="B62" s="124" t="str">
        <f t="shared" ref="B62:B63" si="9">CONCATENATE(A62,D62)</f>
        <v>francaisStil Intersilber</v>
      </c>
      <c r="C62" s="124" t="s">
        <v>315</v>
      </c>
      <c r="D62" s="124" t="str">
        <f>D$61</f>
        <v>Stil Intersilber</v>
      </c>
      <c r="E62" s="124">
        <v>4</v>
      </c>
    </row>
    <row r="63" spans="1:8">
      <c r="A63" s="124" t="str">
        <f>Konfiguration_Configuration!N$1</f>
        <v>italiano</v>
      </c>
      <c r="B63" s="124" t="str">
        <f t="shared" si="9"/>
        <v>italianoStil Intersilber</v>
      </c>
      <c r="C63" s="124" t="s">
        <v>316</v>
      </c>
      <c r="D63" s="124" t="str">
        <f>D$61</f>
        <v>Stil Intersilber</v>
      </c>
      <c r="E63" s="124">
        <v>4</v>
      </c>
      <c r="H63" s="216"/>
    </row>
    <row r="64" spans="1:8">
      <c r="C64" s="124" t="str">
        <f>IF(Konfiguration_Configuration!$B$2=Konfiguration_Configuration!$L$1,G64,H64)</f>
        <v>Elemente</v>
      </c>
      <c r="D64" s="216"/>
      <c r="G64" s="124" t="s">
        <v>252</v>
      </c>
      <c r="H64" s="124" t="s">
        <v>253</v>
      </c>
    </row>
    <row r="65" spans="1:8">
      <c r="A65" s="124">
        <v>1</v>
      </c>
      <c r="B65" s="124" t="str">
        <f>CONCATENATE(A65,D$61)</f>
        <v>1Stil Intersilber</v>
      </c>
      <c r="C65" s="124" t="str">
        <f>IF(Konfiguration_Configuration!$B$2=Konfiguration_Configuration!$L$1,G65,H65)</f>
        <v>Dr mit rae Schl</v>
      </c>
      <c r="D65" s="216">
        <v>1.5</v>
      </c>
      <c r="G65" s="213" t="s">
        <v>317</v>
      </c>
      <c r="H65" s="213" t="s">
        <v>318</v>
      </c>
    </row>
    <row r="66" spans="1:8">
      <c r="A66" s="124">
        <v>2</v>
      </c>
      <c r="B66" s="124" t="str">
        <f t="shared" ref="B66:B88" si="10">CONCATENATE(A66,D$61)</f>
        <v>2Stil Intersilber</v>
      </c>
      <c r="C66" s="124" t="str">
        <f>IF(Konfiguration_Configuration!$B$2=Konfiguration_Configuration!$L$1,G66,H66)</f>
        <v xml:space="preserve">va-re GDr </v>
      </c>
      <c r="D66" s="216">
        <v>1.5</v>
      </c>
      <c r="F66" s="124">
        <v>1</v>
      </c>
      <c r="G66" s="213" t="s">
        <v>319</v>
      </c>
      <c r="H66" s="213" t="s">
        <v>320</v>
      </c>
    </row>
    <row r="67" spans="1:8">
      <c r="A67" s="124">
        <v>3</v>
      </c>
      <c r="B67" s="124" t="str">
        <f t="shared" si="10"/>
        <v>3Stil Intersilber</v>
      </c>
      <c r="C67" s="124" t="str">
        <f>IF(Konfiguration_Configuration!$B$2=Konfiguration_Configuration!$L$1,G67,H67)</f>
        <v>Choctaws</v>
      </c>
      <c r="D67" s="216">
        <v>1.5</v>
      </c>
      <c r="F67" s="124">
        <v>1</v>
      </c>
      <c r="G67" s="213" t="s">
        <v>321</v>
      </c>
      <c r="H67" s="213" t="s">
        <v>321</v>
      </c>
    </row>
    <row r="68" spans="1:8">
      <c r="A68" s="124">
        <v>4</v>
      </c>
      <c r="B68" s="124" t="str">
        <f t="shared" si="10"/>
        <v>4Stil Intersilber</v>
      </c>
      <c r="C68" s="124" t="str">
        <f>IF(Konfiguration_Configuration!$B$2=Konfiguration_Configuration!$L$1,G68,H68)</f>
        <v>Choreographie Sequenz (ChSqB)</v>
      </c>
      <c r="D68" s="216">
        <v>1.5</v>
      </c>
      <c r="G68" s="214" t="s">
        <v>322</v>
      </c>
      <c r="H68" s="213" t="s">
        <v>323</v>
      </c>
    </row>
    <row r="69" spans="1:8">
      <c r="A69" s="124">
        <v>5</v>
      </c>
      <c r="B69" s="124" t="str">
        <f t="shared" si="10"/>
        <v>5Stil Intersilber</v>
      </c>
      <c r="C69" s="124">
        <f>IF(Konfiguration_Configuration!$B$2=Konfiguration_Configuration!$L$1,G69,H69)</f>
        <v>0</v>
      </c>
      <c r="D69" s="216">
        <v>0</v>
      </c>
      <c r="G69" s="213"/>
      <c r="H69" s="213"/>
    </row>
    <row r="70" spans="1:8">
      <c r="A70" s="124">
        <v>10</v>
      </c>
      <c r="B70" s="124" t="str">
        <f t="shared" si="10"/>
        <v>10Stil Intersilber</v>
      </c>
      <c r="D70" s="216">
        <f>SUM(D65:D69)</f>
        <v>6</v>
      </c>
      <c r="H70" s="216"/>
    </row>
    <row r="71" spans="1:8">
      <c r="A71" s="124">
        <v>11</v>
      </c>
      <c r="B71" s="124" t="str">
        <f t="shared" si="10"/>
        <v>11Stil Intersilber</v>
      </c>
      <c r="C71" s="124" t="str">
        <f>IF(Konfiguration_Configuration!$B$2=Konfiguration_Configuration!$L$1,G71,H71)</f>
        <v>Total pro Preisrichter</v>
      </c>
      <c r="D71" s="216"/>
      <c r="G71" s="213" t="s">
        <v>264</v>
      </c>
      <c r="H71" s="213" t="s">
        <v>265</v>
      </c>
    </row>
    <row r="72" spans="1:8">
      <c r="A72" s="124">
        <v>12</v>
      </c>
      <c r="B72" s="124" t="str">
        <f t="shared" si="10"/>
        <v>12Stil Intersilber</v>
      </c>
      <c r="C72" s="124" t="str">
        <f>IF(Konfiguration_Configuration!$B$2=Konfiguration_Configuration!$L$1,G72,H72)</f>
        <v xml:space="preserve">Zum Bestehen des 1. Teils braucht der Läufer die Punktzahl der BASE bei der Mehrheit der Preisrichter und bei der Mehrheit der Elemente. </v>
      </c>
      <c r="D72" s="216"/>
      <c r="G72" s="214" t="s">
        <v>266</v>
      </c>
      <c r="H72" s="214" t="s">
        <v>267</v>
      </c>
    </row>
    <row r="73" spans="1:8" ht="15.6">
      <c r="A73" s="124">
        <v>13</v>
      </c>
      <c r="B73" s="124" t="str">
        <f t="shared" si="10"/>
        <v>13Stil Intersilber</v>
      </c>
      <c r="C73" s="124" t="str">
        <f>IF(Konfiguration_Configuration!$B$2=Konfiguration_Configuration!$L$1,G73,H73)</f>
        <v>1. Teil bestanden:  ja  nein  Unterschrift des Preisrichters</v>
      </c>
      <c r="D73" s="216"/>
      <c r="G73" s="213" t="s">
        <v>305</v>
      </c>
      <c r="H73" s="213" t="s">
        <v>306</v>
      </c>
    </row>
    <row r="74" spans="1:8">
      <c r="A74" s="124">
        <v>21</v>
      </c>
      <c r="B74" s="124" t="str">
        <f t="shared" si="10"/>
        <v>21Stil Intersilber</v>
      </c>
      <c r="C74" s="124" t="str">
        <f>IF(Konfiguration_Configuration!$B$2=Konfiguration_Configuration!$L$1,G74,H74)</f>
        <v>Vorgeschriebene Schritte (TES)</v>
      </c>
      <c r="D74" s="216"/>
      <c r="G74" s="213" t="s">
        <v>270</v>
      </c>
      <c r="H74" s="213" t="s">
        <v>271</v>
      </c>
    </row>
    <row r="75" spans="1:8">
      <c r="A75" s="124">
        <v>22</v>
      </c>
      <c r="B75" s="124" t="str">
        <f t="shared" si="10"/>
        <v>22Stil Intersilber</v>
      </c>
      <c r="C75" s="124" t="str">
        <f>IF(Konfiguration_Configuration!$B$2=Konfiguration_Configuration!$L$1,G75,H75)</f>
        <v>Choreographie Sequenz (ChSqE)</v>
      </c>
      <c r="D75" s="216">
        <v>1.8</v>
      </c>
      <c r="G75" s="234" t="s">
        <v>324</v>
      </c>
      <c r="H75" s="233" t="s">
        <v>325</v>
      </c>
    </row>
    <row r="76" spans="1:8">
      <c r="A76" s="124">
        <v>23</v>
      </c>
      <c r="B76" s="124" t="str">
        <f t="shared" si="10"/>
        <v>23Stil Intersilber</v>
      </c>
      <c r="C76" s="124" t="str">
        <f>IF(Konfiguration_Configuration!$B$2=Konfiguration_Configuration!$L$1,G76,H76)</f>
        <v>Schritt-Sequenz. Das Spurenbild ist frei, muss jedoch klar ersichtlich sein</v>
      </c>
      <c r="D76" s="216">
        <v>1.8</v>
      </c>
      <c r="G76" s="213" t="s">
        <v>346</v>
      </c>
      <c r="H76" s="213" t="s">
        <v>345</v>
      </c>
    </row>
    <row r="77" spans="1:8">
      <c r="A77" s="124">
        <v>24</v>
      </c>
      <c r="B77" s="124" t="str">
        <f t="shared" si="10"/>
        <v>24Stil Intersilber</v>
      </c>
      <c r="C77" s="124">
        <f>IF(Konfiguration_Configuration!$B$2=Konfiguration_Configuration!$L$1,G77,H77)</f>
        <v>0</v>
      </c>
      <c r="D77" s="216"/>
      <c r="G77" s="214"/>
      <c r="H77" s="213"/>
    </row>
    <row r="78" spans="1:8">
      <c r="A78" s="124">
        <v>31</v>
      </c>
      <c r="B78" s="124" t="str">
        <f t="shared" si="10"/>
        <v>31Stil Intersilber</v>
      </c>
      <c r="C78" s="124" t="str">
        <f>IF(Konfiguration_Configuration!$B$2=Konfiguration_Configuration!$L$1,G78,H78)</f>
        <v>Program Components (PCS)</v>
      </c>
      <c r="D78" s="216"/>
      <c r="G78" s="213" t="s">
        <v>276</v>
      </c>
      <c r="H78" s="213" t="s">
        <v>276</v>
      </c>
    </row>
    <row r="79" spans="1:8">
      <c r="A79" s="124">
        <v>32</v>
      </c>
      <c r="B79" s="124" t="str">
        <f t="shared" si="10"/>
        <v>32Stil Intersilber</v>
      </c>
      <c r="C79" s="124" t="str">
        <f>IF(Konfiguration_Configuration!$B$2=Konfiguration_Configuration!$L$1,G79,H79)</f>
        <v>Composition</v>
      </c>
      <c r="D79" s="216">
        <v>2.5</v>
      </c>
      <c r="G79" s="213" t="s">
        <v>326</v>
      </c>
      <c r="H79" s="213" t="s">
        <v>326</v>
      </c>
    </row>
    <row r="80" spans="1:8">
      <c r="A80" s="124">
        <v>33</v>
      </c>
      <c r="B80" s="124" t="str">
        <f t="shared" si="10"/>
        <v>33Stil Intersilber</v>
      </c>
      <c r="C80" s="124" t="str">
        <f>IF(Konfiguration_Configuration!$B$2=Konfiguration_Configuration!$L$1,G80,H80)</f>
        <v>Presentation</v>
      </c>
      <c r="D80" s="216">
        <v>2.5</v>
      </c>
      <c r="G80" s="215" t="s">
        <v>277</v>
      </c>
      <c r="H80" s="215" t="s">
        <v>277</v>
      </c>
    </row>
    <row r="81" spans="1:8">
      <c r="A81" s="124">
        <v>34</v>
      </c>
      <c r="B81" s="124" t="str">
        <f t="shared" si="10"/>
        <v>34Stil Intersilber</v>
      </c>
      <c r="C81" s="124" t="str">
        <f>IF(Konfiguration_Configuration!$B$2=Konfiguration_Configuration!$L$1,G81,H81)</f>
        <v>Skating Skills</v>
      </c>
      <c r="D81" s="216">
        <v>2.5</v>
      </c>
      <c r="G81" s="215" t="s">
        <v>278</v>
      </c>
      <c r="H81" s="215" t="s">
        <v>278</v>
      </c>
    </row>
    <row r="82" spans="1:8">
      <c r="A82" s="124">
        <v>41</v>
      </c>
      <c r="B82" s="124" t="str">
        <f t="shared" si="10"/>
        <v>41Stil Intersilber</v>
      </c>
      <c r="C82" s="124" t="str">
        <f>IF(Konfiguration_Configuration!$B$2=Konfiguration_Configuration!$L$1,G82,H82)</f>
        <v>Sturz</v>
      </c>
      <c r="D82" s="228">
        <v>-0.25</v>
      </c>
      <c r="G82" s="213" t="s">
        <v>280</v>
      </c>
      <c r="H82" s="213" t="s">
        <v>281</v>
      </c>
    </row>
    <row r="83" spans="1:8">
      <c r="D83" s="228"/>
      <c r="G83" s="213"/>
      <c r="H83" s="213"/>
    </row>
    <row r="84" spans="1:8">
      <c r="A84" s="124">
        <v>51</v>
      </c>
      <c r="B84" s="124" t="str">
        <f t="shared" si="10"/>
        <v>51Stil Intersilber</v>
      </c>
      <c r="C84" s="124" t="str">
        <f>IF(Konfiguration_Configuration!$B$2=Konfiguration_Configuration!$L$1,G84,H84)</f>
        <v>3 Komponenten:</v>
      </c>
      <c r="D84" s="228"/>
      <c r="G84" s="230" t="s">
        <v>327</v>
      </c>
      <c r="H84" s="230" t="s">
        <v>328</v>
      </c>
    </row>
    <row r="85" spans="1:8">
      <c r="A85" s="124">
        <v>52</v>
      </c>
      <c r="B85" s="124" t="str">
        <f t="shared" si="10"/>
        <v>52Stil Intersilber</v>
      </c>
      <c r="C85" s="124" t="str">
        <f>IF(Konfiguration_Configuration!$B$2=Konfiguration_Configuration!$L$1,G85,H85)</f>
        <v>Die Punktzahl beträgt für den (1,8 pro Schritt) TES: 3,6 Punkte</v>
      </c>
      <c r="D85" s="228"/>
      <c r="G85" s="214" t="s">
        <v>329</v>
      </c>
      <c r="H85" s="214" t="s">
        <v>330</v>
      </c>
    </row>
    <row r="86" spans="1:8">
      <c r="A86" s="124">
        <v>53</v>
      </c>
      <c r="B86" s="124" t="str">
        <f t="shared" si="10"/>
        <v>53Stil Intersilber</v>
      </c>
      <c r="C86" s="124" t="str">
        <f>IF(Konfiguration_Configuration!$B$2=Konfiguration_Configuration!$L$1,G86,H86)</f>
        <v>und einen Durchschnitt von 2,5 x 3 PCS: 7,5 Punkte</v>
      </c>
      <c r="D86" s="228"/>
      <c r="G86" s="214" t="s">
        <v>331</v>
      </c>
      <c r="H86" s="214" t="s">
        <v>332</v>
      </c>
    </row>
    <row r="87" spans="1:8">
      <c r="A87" s="124">
        <v>54</v>
      </c>
      <c r="B87" s="124" t="str">
        <f t="shared" si="10"/>
        <v>54Stil Intersilber</v>
      </c>
      <c r="C87" s="124" t="str">
        <f>IF(Konfiguration_Configuration!$B$2=Konfiguration_Configuration!$L$1,G87,H87)</f>
        <v>Sturz: (-0,25 pro Sturz)</v>
      </c>
      <c r="D87" s="228"/>
      <c r="G87" s="214" t="s">
        <v>288</v>
      </c>
      <c r="H87" s="214" t="s">
        <v>289</v>
      </c>
    </row>
    <row r="88" spans="1:8">
      <c r="A88" s="124">
        <v>55</v>
      </c>
      <c r="B88" s="124" t="str">
        <f t="shared" si="10"/>
        <v>55Stil Intersilber</v>
      </c>
      <c r="C88" s="124" t="str">
        <f>IF(Konfiguration_Configuration!$B$2=Konfiguration_Configuration!$L$1,G88,H88)</f>
        <v>zum Bestehen braucht der Läufer: TSS 11,1 Punkte</v>
      </c>
      <c r="D88" s="216">
        <v>11.1</v>
      </c>
      <c r="G88" s="213" t="s">
        <v>333</v>
      </c>
      <c r="H88" s="214" t="s">
        <v>334</v>
      </c>
    </row>
    <row r="89" spans="1:8">
      <c r="A89" s="124">
        <v>56</v>
      </c>
      <c r="B89" s="124" t="str">
        <f>CONCATENATE(A89,D$61)</f>
        <v>56Stil Intersilber</v>
      </c>
      <c r="C89" s="124" t="str">
        <f>IF(Konfiguration_Configuration!$B$2=Konfiguration_Configuration!$L$1,G89,H89)</f>
        <v>Unterschrift des Preisrichters __________________________________</v>
      </c>
      <c r="D89" s="228"/>
      <c r="G89" s="213" t="s">
        <v>292</v>
      </c>
      <c r="H89" s="213" t="s">
        <v>293</v>
      </c>
    </row>
  </sheetData>
  <pageMargins left="0.7" right="0.7" top="0.78740157499999996" bottom="0.78740157499999996" header="0.3" footer="0.3"/>
  <ignoredErrors>
    <ignoredError sqref="D28"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4A822-6E5B-4C72-A47F-A612C59BFBBE}">
  <sheetPr>
    <tabColor indexed="42"/>
    <pageSetUpPr fitToPage="1"/>
  </sheetPr>
  <dimension ref="A1:L22"/>
  <sheetViews>
    <sheetView topLeftCell="A3" workbookViewId="0">
      <selection activeCell="AA1" sqref="AA1"/>
    </sheetView>
  </sheetViews>
  <sheetFormatPr baseColWidth="10" defaultColWidth="11.44140625" defaultRowHeight="13.2"/>
  <cols>
    <col min="1" max="1" width="25.33203125" customWidth="1"/>
    <col min="2" max="12" width="8.5546875" customWidth="1"/>
  </cols>
  <sheetData>
    <row r="1" spans="1:12">
      <c r="A1" s="150"/>
      <c r="G1" s="194"/>
    </row>
    <row r="2" spans="1:12" ht="54" customHeight="1">
      <c r="A2" s="381" t="str">
        <f>Konfiguration_Configuration!B3</f>
        <v>SIS Inter-Bronze Stiltest</v>
      </c>
      <c r="B2" s="370"/>
      <c r="C2" s="370"/>
      <c r="D2" s="370"/>
      <c r="E2" s="370"/>
      <c r="F2" s="370"/>
      <c r="G2" s="370"/>
      <c r="H2" s="370"/>
      <c r="I2" s="370"/>
      <c r="J2" s="370"/>
      <c r="K2" s="370"/>
      <c r="L2" s="370"/>
    </row>
    <row r="3" spans="1:12" ht="13.8" thickBot="1">
      <c r="A3" s="195" t="s">
        <v>252</v>
      </c>
      <c r="B3" s="196">
        <v>-5</v>
      </c>
      <c r="C3" s="197">
        <v>-4</v>
      </c>
      <c r="D3" s="197">
        <v>-3</v>
      </c>
      <c r="E3" s="197">
        <v>-2</v>
      </c>
      <c r="F3" s="198">
        <v>-1</v>
      </c>
      <c r="G3" s="199" t="s">
        <v>242</v>
      </c>
      <c r="H3" s="196">
        <v>1</v>
      </c>
      <c r="I3" s="197">
        <v>2</v>
      </c>
      <c r="J3" s="197">
        <v>3</v>
      </c>
      <c r="K3" s="197">
        <v>4</v>
      </c>
      <c r="L3" s="198">
        <v>5</v>
      </c>
    </row>
    <row r="4" spans="1:12" ht="25.5" customHeight="1">
      <c r="A4" s="377" t="str">
        <f>VLOOKUP(CONCATENATE("1",Konfiguration_Configuration!$N$6),Daten!$B$5:$E$99,2,FALSE)</f>
        <v>v Übersetzen</v>
      </c>
      <c r="B4" s="200">
        <f>$G4*B$3/10</f>
        <v>-0.5</v>
      </c>
      <c r="C4" s="201">
        <f>$G4*C$3/10</f>
        <v>-0.4</v>
      </c>
      <c r="D4" s="201">
        <f>$G4*D$3/10</f>
        <v>-0.3</v>
      </c>
      <c r="E4" s="201">
        <f>$G4*E$3/10</f>
        <v>-0.2</v>
      </c>
      <c r="F4" s="202">
        <f>$G4*F$3/10</f>
        <v>-0.1</v>
      </c>
      <c r="G4" s="379">
        <f>VLOOKUP(CONCATENATE("1",Konfiguration_Configuration!$N$6),Daten!$B$5:$E$99,3,FALSE)</f>
        <v>1</v>
      </c>
      <c r="H4" s="200">
        <f>$G4*H$3/10</f>
        <v>0.1</v>
      </c>
      <c r="I4" s="201">
        <f>$G4*I$3/10</f>
        <v>0.2</v>
      </c>
      <c r="J4" s="201">
        <f>$G4*J$3/10</f>
        <v>0.3</v>
      </c>
      <c r="K4" s="201">
        <f>$G4*K$3/10</f>
        <v>0.4</v>
      </c>
      <c r="L4" s="202">
        <f>$G4*L$3/10</f>
        <v>0.5</v>
      </c>
    </row>
    <row r="5" spans="1:12" ht="25.5" customHeight="1" thickBot="1">
      <c r="A5" s="378"/>
      <c r="B5" s="203">
        <f>$G4+B4</f>
        <v>0.5</v>
      </c>
      <c r="C5" s="204">
        <f t="shared" ref="C5:F5" si="0">$G4+C4</f>
        <v>0.6</v>
      </c>
      <c r="D5" s="204">
        <f t="shared" si="0"/>
        <v>0.7</v>
      </c>
      <c r="E5" s="204">
        <f t="shared" si="0"/>
        <v>0.8</v>
      </c>
      <c r="F5" s="205">
        <f t="shared" si="0"/>
        <v>0.9</v>
      </c>
      <c r="G5" s="380"/>
      <c r="H5" s="203">
        <f t="shared" ref="H5:L5" si="1">$G4+H4</f>
        <v>1.1000000000000001</v>
      </c>
      <c r="I5" s="204">
        <f t="shared" si="1"/>
        <v>1.2</v>
      </c>
      <c r="J5" s="204">
        <f t="shared" si="1"/>
        <v>1.3</v>
      </c>
      <c r="K5" s="204">
        <f t="shared" si="1"/>
        <v>1.4</v>
      </c>
      <c r="L5" s="205">
        <f t="shared" si="1"/>
        <v>1.5</v>
      </c>
    </row>
    <row r="6" spans="1:12" ht="25.5" customHeight="1">
      <c r="A6" s="377" t="str">
        <f>VLOOKUP(CONCATENATE("2",Konfiguration_Configuration!$N$6),Daten!$B$5:$E$99,2,FALSE)</f>
        <v>r Übersetzen</v>
      </c>
      <c r="B6" s="200">
        <f>$G6*B$3/10</f>
        <v>-0.5</v>
      </c>
      <c r="C6" s="201">
        <f>$G6*C$3/10</f>
        <v>-0.4</v>
      </c>
      <c r="D6" s="201">
        <f>$G6*D$3/10</f>
        <v>-0.3</v>
      </c>
      <c r="E6" s="201">
        <f>$G6*E$3/10</f>
        <v>-0.2</v>
      </c>
      <c r="F6" s="202">
        <f>$G6*F$3/10</f>
        <v>-0.1</v>
      </c>
      <c r="G6" s="379">
        <f>VLOOKUP(CONCATENATE("2",Konfiguration_Configuration!$N$6),Daten!$B$5:$E$99,3,FALSE)</f>
        <v>1</v>
      </c>
      <c r="H6" s="200">
        <f>$G6*H$3/10</f>
        <v>0.1</v>
      </c>
      <c r="I6" s="201">
        <f>$G6*I$3/10</f>
        <v>0.2</v>
      </c>
      <c r="J6" s="201">
        <f>$G6*J$3/10</f>
        <v>0.3</v>
      </c>
      <c r="K6" s="201">
        <f>$G6*K$3/10</f>
        <v>0.4</v>
      </c>
      <c r="L6" s="202">
        <f>$G6*L$3/10</f>
        <v>0.5</v>
      </c>
    </row>
    <row r="7" spans="1:12" ht="25.5" customHeight="1" thickBot="1">
      <c r="A7" s="378"/>
      <c r="B7" s="203">
        <f>$G6+B6</f>
        <v>0.5</v>
      </c>
      <c r="C7" s="204">
        <f t="shared" ref="C7:F7" si="2">$G6+C6</f>
        <v>0.6</v>
      </c>
      <c r="D7" s="204">
        <f t="shared" si="2"/>
        <v>0.7</v>
      </c>
      <c r="E7" s="204">
        <f t="shared" si="2"/>
        <v>0.8</v>
      </c>
      <c r="F7" s="205">
        <f t="shared" si="2"/>
        <v>0.9</v>
      </c>
      <c r="G7" s="380"/>
      <c r="H7" s="203">
        <f>$G6+H6</f>
        <v>1.1000000000000001</v>
      </c>
      <c r="I7" s="204">
        <f t="shared" ref="I7:L7" si="3">$G6+I6</f>
        <v>1.2</v>
      </c>
      <c r="J7" s="204">
        <f t="shared" si="3"/>
        <v>1.3</v>
      </c>
      <c r="K7" s="204">
        <f t="shared" si="3"/>
        <v>1.4</v>
      </c>
      <c r="L7" s="205">
        <f t="shared" si="3"/>
        <v>1.5</v>
      </c>
    </row>
    <row r="8" spans="1:12" ht="25.5" customHeight="1">
      <c r="A8" s="377" t="str">
        <f>VLOOKUP(CONCATENATE("3",Konfiguration_Configuration!$N$6),Daten!$B$5:$E$99,2,FALSE)</f>
        <v>va Dr-re Dr</v>
      </c>
      <c r="B8" s="200">
        <f>$G8*B$3/10</f>
        <v>-0.5</v>
      </c>
      <c r="C8" s="201">
        <f>$G8*C$3/10</f>
        <v>-0.4</v>
      </c>
      <c r="D8" s="201">
        <f>$G8*D$3/10</f>
        <v>-0.3</v>
      </c>
      <c r="E8" s="201">
        <f>$G8*E$3/10</f>
        <v>-0.2</v>
      </c>
      <c r="F8" s="202">
        <f>$G8*F$3/10</f>
        <v>-0.1</v>
      </c>
      <c r="G8" s="379">
        <f>VLOOKUP(CONCATENATE("3",Konfiguration_Configuration!$N$6),Daten!$B$5:$E$99,3,FALSE)</f>
        <v>1</v>
      </c>
      <c r="H8" s="200">
        <f>$G8*H$3/10</f>
        <v>0.1</v>
      </c>
      <c r="I8" s="201">
        <f>$G8*I$3/10</f>
        <v>0.2</v>
      </c>
      <c r="J8" s="201">
        <f>$G8*J$3/10</f>
        <v>0.3</v>
      </c>
      <c r="K8" s="201">
        <f>$G8*K$3/10</f>
        <v>0.4</v>
      </c>
      <c r="L8" s="202">
        <f>$G8*L$3/10</f>
        <v>0.5</v>
      </c>
    </row>
    <row r="9" spans="1:12" ht="25.5" customHeight="1" thickBot="1">
      <c r="A9" s="378"/>
      <c r="B9" s="203">
        <f>$G8+B8</f>
        <v>0.5</v>
      </c>
      <c r="C9" s="204">
        <f t="shared" ref="C9:F9" si="4">$G8+C8</f>
        <v>0.6</v>
      </c>
      <c r="D9" s="204">
        <f t="shared" si="4"/>
        <v>0.7</v>
      </c>
      <c r="E9" s="204">
        <f t="shared" si="4"/>
        <v>0.8</v>
      </c>
      <c r="F9" s="205">
        <f t="shared" si="4"/>
        <v>0.9</v>
      </c>
      <c r="G9" s="380"/>
      <c r="H9" s="203">
        <f>$G8+H8</f>
        <v>1.1000000000000001</v>
      </c>
      <c r="I9" s="204">
        <f t="shared" ref="I9:L9" si="5">$G8+I8</f>
        <v>1.2</v>
      </c>
      <c r="J9" s="204">
        <f t="shared" si="5"/>
        <v>1.3</v>
      </c>
      <c r="K9" s="204">
        <f t="shared" si="5"/>
        <v>1.4</v>
      </c>
      <c r="L9" s="205">
        <f t="shared" si="5"/>
        <v>1.5</v>
      </c>
    </row>
    <row r="10" spans="1:12" ht="25.5" customHeight="1">
      <c r="A10" s="377" t="str">
        <f>VLOOKUP(CONCATENATE("4",Konfiguration_Configuration!$N$6),Daten!$B$5:$E$99,2,FALSE)</f>
        <v>ve Dr-ra Dr</v>
      </c>
      <c r="B10" s="200">
        <f>$G10*B$3/10</f>
        <v>-0.5</v>
      </c>
      <c r="C10" s="201">
        <f>$G10*C$3/10</f>
        <v>-0.4</v>
      </c>
      <c r="D10" s="201">
        <f>$G10*D$3/10</f>
        <v>-0.3</v>
      </c>
      <c r="E10" s="201">
        <f>$G10*E$3/10</f>
        <v>-0.2</v>
      </c>
      <c r="F10" s="202">
        <f>$G10*F$3/10</f>
        <v>-0.1</v>
      </c>
      <c r="G10" s="379">
        <f>VLOOKUP(CONCATENATE("4",Konfiguration_Configuration!$N$6),Daten!$B$5:$E$99,3,FALSE)</f>
        <v>1</v>
      </c>
      <c r="H10" s="200">
        <f>$G10*H$3/10</f>
        <v>0.1</v>
      </c>
      <c r="I10" s="201">
        <f>$G10*I$3/10</f>
        <v>0.2</v>
      </c>
      <c r="J10" s="201">
        <f>$G10*J$3/10</f>
        <v>0.3</v>
      </c>
      <c r="K10" s="201">
        <f>$G10*K$3/10</f>
        <v>0.4</v>
      </c>
      <c r="L10" s="202">
        <f>$G10*L$3/10</f>
        <v>0.5</v>
      </c>
    </row>
    <row r="11" spans="1:12" ht="25.5" customHeight="1" thickBot="1">
      <c r="A11" s="378"/>
      <c r="B11" s="203">
        <f>$G10+B10</f>
        <v>0.5</v>
      </c>
      <c r="C11" s="204">
        <f t="shared" ref="C11:F11" si="6">$G10+C10</f>
        <v>0.6</v>
      </c>
      <c r="D11" s="204">
        <f t="shared" si="6"/>
        <v>0.7</v>
      </c>
      <c r="E11" s="204">
        <f t="shared" si="6"/>
        <v>0.8</v>
      </c>
      <c r="F11" s="205">
        <f t="shared" si="6"/>
        <v>0.9</v>
      </c>
      <c r="G11" s="380"/>
      <c r="H11" s="203">
        <f>$G10+H10</f>
        <v>1.1000000000000001</v>
      </c>
      <c r="I11" s="204">
        <f t="shared" ref="I11:L11" si="7">$G10+I10</f>
        <v>1.2</v>
      </c>
      <c r="J11" s="204">
        <f t="shared" si="7"/>
        <v>1.3</v>
      </c>
      <c r="K11" s="204">
        <f t="shared" si="7"/>
        <v>1.4</v>
      </c>
      <c r="L11" s="205">
        <f t="shared" si="7"/>
        <v>1.5</v>
      </c>
    </row>
    <row r="12" spans="1:12" ht="25.5" customHeight="1">
      <c r="A12" s="377" t="str">
        <f>VLOOKUP(CONCATENATE("5",Konfiguration_Configuration!$N$6),Daten!$B$5:$E$99,2,FALSE)</f>
        <v>A: Schl+oMo / B: 2 versch. Schl+Mo</v>
      </c>
      <c r="B12" s="200">
        <f>$G12*B$3/10</f>
        <v>-0.5</v>
      </c>
      <c r="C12" s="201">
        <f>$G12*C$3/10</f>
        <v>-0.4</v>
      </c>
      <c r="D12" s="201">
        <f>$G12*D$3/10</f>
        <v>-0.3</v>
      </c>
      <c r="E12" s="201">
        <f>$G12*E$3/10</f>
        <v>-0.2</v>
      </c>
      <c r="F12" s="202">
        <f>$G12*F$3/10</f>
        <v>-0.1</v>
      </c>
      <c r="G12" s="379">
        <f>VLOOKUP(CONCATENATE("5",Konfiguration_Configuration!$N$6),Daten!$B$5:$E$99,3,FALSE)</f>
        <v>1</v>
      </c>
      <c r="H12" s="200">
        <f>$G12*H$3/10</f>
        <v>0.1</v>
      </c>
      <c r="I12" s="201">
        <f>$G12*I$3/10</f>
        <v>0.2</v>
      </c>
      <c r="J12" s="201">
        <f>$G12*J$3/10</f>
        <v>0.3</v>
      </c>
      <c r="K12" s="201">
        <f>$G12*K$3/10</f>
        <v>0.4</v>
      </c>
      <c r="L12" s="202">
        <f>$G12*L$3/10</f>
        <v>0.5</v>
      </c>
    </row>
    <row r="13" spans="1:12" ht="25.5" customHeight="1" thickBot="1">
      <c r="A13" s="378"/>
      <c r="B13" s="203">
        <f>$G12+B12</f>
        <v>0.5</v>
      </c>
      <c r="C13" s="204">
        <f t="shared" ref="C13:F13" si="8">$G12+C12</f>
        <v>0.6</v>
      </c>
      <c r="D13" s="204">
        <f t="shared" si="8"/>
        <v>0.7</v>
      </c>
      <c r="E13" s="204">
        <f t="shared" si="8"/>
        <v>0.8</v>
      </c>
      <c r="F13" s="205">
        <f t="shared" si="8"/>
        <v>0.9</v>
      </c>
      <c r="G13" s="380"/>
      <c r="H13" s="203">
        <f>$G12+H12</f>
        <v>1.1000000000000001</v>
      </c>
      <c r="I13" s="204">
        <f t="shared" ref="I13:L13" si="9">$G12+I12</f>
        <v>1.2</v>
      </c>
      <c r="J13" s="204">
        <f t="shared" si="9"/>
        <v>1.3</v>
      </c>
      <c r="K13" s="204">
        <f t="shared" si="9"/>
        <v>1.4</v>
      </c>
      <c r="L13" s="205">
        <f t="shared" si="9"/>
        <v>1.5</v>
      </c>
    </row>
    <row r="14" spans="1:12">
      <c r="A14" s="206"/>
      <c r="B14" s="207"/>
      <c r="C14" s="207"/>
      <c r="D14" s="207"/>
      <c r="E14" s="207"/>
      <c r="F14" s="207"/>
      <c r="G14" s="208"/>
      <c r="H14" s="207"/>
      <c r="I14" s="207"/>
      <c r="J14" s="207"/>
      <c r="K14" s="207"/>
      <c r="L14" s="207"/>
    </row>
    <row r="15" spans="1:12" ht="27" customHeight="1">
      <c r="A15" s="382" t="str">
        <f>VLOOKUP(CONCATENATE("21",Konfiguration_Configuration!$N$6),Daten!$B$5:$E$99,2,FALSE)</f>
        <v>Vorgeschriebene Schritte (TES)</v>
      </c>
      <c r="B15" s="383"/>
      <c r="C15" s="383"/>
      <c r="D15" s="383"/>
      <c r="E15" s="383"/>
      <c r="F15" s="383"/>
      <c r="G15" s="383"/>
      <c r="H15" s="383"/>
      <c r="I15" s="383"/>
      <c r="J15" s="383"/>
      <c r="K15" s="383"/>
      <c r="L15" s="383"/>
    </row>
    <row r="16" spans="1:12" ht="13.8" thickBot="1">
      <c r="A16" s="195" t="s">
        <v>252</v>
      </c>
      <c r="B16" s="196">
        <v>-5</v>
      </c>
      <c r="C16" s="197">
        <v>-4</v>
      </c>
      <c r="D16" s="197">
        <v>-3</v>
      </c>
      <c r="E16" s="197">
        <v>-2</v>
      </c>
      <c r="F16" s="198">
        <v>-1</v>
      </c>
      <c r="G16" s="199" t="s">
        <v>242</v>
      </c>
      <c r="H16" s="196">
        <v>1</v>
      </c>
      <c r="I16" s="197">
        <v>2</v>
      </c>
      <c r="J16" s="197">
        <v>3</v>
      </c>
      <c r="K16" s="197">
        <v>4</v>
      </c>
      <c r="L16" s="198">
        <v>5</v>
      </c>
    </row>
    <row r="17" spans="1:12" ht="25.5" customHeight="1">
      <c r="A17" s="377" t="str">
        <f>VLOOKUP(CONCATENATE("22",Konfiguration_Configuration!$N$6),Daten!$B$5:$E$99,2,FALSE)</f>
        <v>½ ChSqC</v>
      </c>
      <c r="B17" s="200">
        <f>$G17*B$3/10</f>
        <v>-0.3</v>
      </c>
      <c r="C17" s="201">
        <f>$G17*C$3/10</f>
        <v>-0.24</v>
      </c>
      <c r="D17" s="201">
        <f>$G17*D$3/10</f>
        <v>-0.18</v>
      </c>
      <c r="E17" s="201">
        <f>$G17*E$3/10</f>
        <v>-0.12</v>
      </c>
      <c r="F17" s="202">
        <f>$G17*F$3/10</f>
        <v>-0.06</v>
      </c>
      <c r="G17" s="379">
        <f>VLOOKUP(CONCATENATE("22",Konfiguration_Configuration!$N$6),Daten!$B$5:$E$99,3,FALSE)</f>
        <v>0.6</v>
      </c>
      <c r="H17" s="200">
        <f>$G17*H$3/10</f>
        <v>0.06</v>
      </c>
      <c r="I17" s="201">
        <f>$G17*I$3/10</f>
        <v>0.12</v>
      </c>
      <c r="J17" s="201">
        <f>$G17*J$3/10</f>
        <v>0.18</v>
      </c>
      <c r="K17" s="201">
        <f>$G17*K$3/10</f>
        <v>0.24</v>
      </c>
      <c r="L17" s="202">
        <f>$G17*L$3/10</f>
        <v>0.3</v>
      </c>
    </row>
    <row r="18" spans="1:12" ht="25.5" customHeight="1" thickBot="1">
      <c r="A18" s="378"/>
      <c r="B18" s="203">
        <f>$G17+B17</f>
        <v>0.3</v>
      </c>
      <c r="C18" s="204">
        <f t="shared" ref="C18:F18" si="10">$G17+C17</f>
        <v>0.36</v>
      </c>
      <c r="D18" s="204">
        <f t="shared" si="10"/>
        <v>0.42</v>
      </c>
      <c r="E18" s="204">
        <f t="shared" si="10"/>
        <v>0.48</v>
      </c>
      <c r="F18" s="205">
        <f t="shared" si="10"/>
        <v>0.54</v>
      </c>
      <c r="G18" s="380"/>
      <c r="H18" s="203">
        <f>$G17+H17</f>
        <v>0.65999999999999992</v>
      </c>
      <c r="I18" s="204">
        <f t="shared" ref="I18:L18" si="11">$G17+I17</f>
        <v>0.72</v>
      </c>
      <c r="J18" s="204">
        <f t="shared" si="11"/>
        <v>0.78</v>
      </c>
      <c r="K18" s="204">
        <f t="shared" si="11"/>
        <v>0.84</v>
      </c>
      <c r="L18" s="205">
        <f t="shared" si="11"/>
        <v>0.89999999999999991</v>
      </c>
    </row>
    <row r="19" spans="1:12" ht="25.5" customHeight="1">
      <c r="A19" s="377" t="str">
        <f>VLOOKUP(CONCATENATE("23",Konfiguration_Configuration!$N$6),Daten!$B$5:$E$99,2,FALSE)</f>
        <v>½ Kreisschritt</v>
      </c>
      <c r="B19" s="200">
        <f>$G19*B$3/10</f>
        <v>-0.3</v>
      </c>
      <c r="C19" s="201">
        <f>$G19*C$3/10</f>
        <v>-0.24</v>
      </c>
      <c r="D19" s="201">
        <f>$G19*D$3/10</f>
        <v>-0.18</v>
      </c>
      <c r="E19" s="201">
        <f>$G19*E$3/10</f>
        <v>-0.12</v>
      </c>
      <c r="F19" s="202">
        <f>$G19*F$3/10</f>
        <v>-0.06</v>
      </c>
      <c r="G19" s="379">
        <f>VLOOKUP(CONCATENATE("23",Konfiguration_Configuration!$N$6),Daten!$B$5:$E$99,3,FALSE)</f>
        <v>0.6</v>
      </c>
      <c r="H19" s="200">
        <f>$G19*H$3/10</f>
        <v>0.06</v>
      </c>
      <c r="I19" s="201">
        <f>$G19*I$3/10</f>
        <v>0.12</v>
      </c>
      <c r="J19" s="201">
        <f>$G19*J$3/10</f>
        <v>0.18</v>
      </c>
      <c r="K19" s="201">
        <f>$G19*K$3/10</f>
        <v>0.24</v>
      </c>
      <c r="L19" s="202">
        <f>$G19*L$3/10</f>
        <v>0.3</v>
      </c>
    </row>
    <row r="20" spans="1:12" ht="25.5" customHeight="1" thickBot="1">
      <c r="A20" s="378"/>
      <c r="B20" s="203">
        <f>$G19+B19</f>
        <v>0.3</v>
      </c>
      <c r="C20" s="204">
        <f t="shared" ref="C20:F20" si="12">$G19+C19</f>
        <v>0.36</v>
      </c>
      <c r="D20" s="204">
        <f t="shared" si="12"/>
        <v>0.42</v>
      </c>
      <c r="E20" s="204">
        <f t="shared" si="12"/>
        <v>0.48</v>
      </c>
      <c r="F20" s="205">
        <f t="shared" si="12"/>
        <v>0.54</v>
      </c>
      <c r="G20" s="380"/>
      <c r="H20" s="203">
        <f>$G19+H19</f>
        <v>0.65999999999999992</v>
      </c>
      <c r="I20" s="204">
        <f t="shared" ref="I20:L20" si="13">$G19+I19</f>
        <v>0.72</v>
      </c>
      <c r="J20" s="204">
        <f t="shared" si="13"/>
        <v>0.78</v>
      </c>
      <c r="K20" s="204">
        <f t="shared" si="13"/>
        <v>0.84</v>
      </c>
      <c r="L20" s="205">
        <f t="shared" si="13"/>
        <v>0.89999999999999991</v>
      </c>
    </row>
    <row r="21" spans="1:12" ht="25.5" customHeight="1">
      <c r="A21" s="377" t="str">
        <f>VLOOKUP(CONCATENATE("24",Konfiguration_Configuration!$N$6),Daten!$B$5:$E$99,2,FALSE)</f>
        <v>½ Längsschritt</v>
      </c>
      <c r="B21" s="200">
        <f>$G21*B$3/10</f>
        <v>-0.3</v>
      </c>
      <c r="C21" s="201">
        <f>$G21*C$3/10</f>
        <v>-0.24</v>
      </c>
      <c r="D21" s="201">
        <f>$G21*D$3/10</f>
        <v>-0.18</v>
      </c>
      <c r="E21" s="201">
        <f>$G21*E$3/10</f>
        <v>-0.12</v>
      </c>
      <c r="F21" s="202">
        <f>$G21*F$3/10</f>
        <v>-0.06</v>
      </c>
      <c r="G21" s="379">
        <f>VLOOKUP(CONCATENATE("24",Konfiguration_Configuration!$N$6),Daten!$B$5:$E$99,3,FALSE)</f>
        <v>0.6</v>
      </c>
      <c r="H21" s="200">
        <f>$G21*H$3/10</f>
        <v>0.06</v>
      </c>
      <c r="I21" s="201">
        <f>$G21*I$3/10</f>
        <v>0.12</v>
      </c>
      <c r="J21" s="201">
        <f>$G21*J$3/10</f>
        <v>0.18</v>
      </c>
      <c r="K21" s="201">
        <f>$G21*K$3/10</f>
        <v>0.24</v>
      </c>
      <c r="L21" s="202">
        <f>$G21*L$3/10</f>
        <v>0.3</v>
      </c>
    </row>
    <row r="22" spans="1:12" ht="25.5" customHeight="1" thickBot="1">
      <c r="A22" s="378"/>
      <c r="B22" s="203">
        <f>$G21+B21</f>
        <v>0.3</v>
      </c>
      <c r="C22" s="204">
        <f t="shared" ref="C22:F22" si="14">$G21+C21</f>
        <v>0.36</v>
      </c>
      <c r="D22" s="204">
        <f t="shared" si="14"/>
        <v>0.42</v>
      </c>
      <c r="E22" s="204">
        <f t="shared" si="14"/>
        <v>0.48</v>
      </c>
      <c r="F22" s="205">
        <f t="shared" si="14"/>
        <v>0.54</v>
      </c>
      <c r="G22" s="380"/>
      <c r="H22" s="203">
        <f>$G21+H21</f>
        <v>0.65999999999999992</v>
      </c>
      <c r="I22" s="204">
        <f t="shared" ref="I22:L22" si="15">$G21+I21</f>
        <v>0.72</v>
      </c>
      <c r="J22" s="204">
        <f t="shared" si="15"/>
        <v>0.78</v>
      </c>
      <c r="K22" s="204">
        <f t="shared" si="15"/>
        <v>0.84</v>
      </c>
      <c r="L22" s="205">
        <f t="shared" si="15"/>
        <v>0.89999999999999991</v>
      </c>
    </row>
  </sheetData>
  <sheetProtection algorithmName="SHA-512" hashValue="NMS+w3UMHC6e278df/q6gH8E8VY5EdgnFXgOvfh17qz73wDn8UFW0+v8izlVr9LqLEIAKEHrluLgCfWy2xaP/A==" saltValue="mgURHoyBzvi8QWNo5i2CFQ==" spinCount="100000" sheet="1" selectLockedCells="1" selectUnlockedCells="1"/>
  <mergeCells count="18">
    <mergeCell ref="A21:A22"/>
    <mergeCell ref="G21:G22"/>
    <mergeCell ref="A19:A20"/>
    <mergeCell ref="G19:G20"/>
    <mergeCell ref="A10:A11"/>
    <mergeCell ref="G10:G11"/>
    <mergeCell ref="A12:A13"/>
    <mergeCell ref="G12:G13"/>
    <mergeCell ref="A15:L15"/>
    <mergeCell ref="A17:A18"/>
    <mergeCell ref="G17:G18"/>
    <mergeCell ref="A8:A9"/>
    <mergeCell ref="G8:G9"/>
    <mergeCell ref="A2:L2"/>
    <mergeCell ref="A4:A5"/>
    <mergeCell ref="G4:G5"/>
    <mergeCell ref="A6:A7"/>
    <mergeCell ref="G6:G7"/>
  </mergeCells>
  <pageMargins left="0.7" right="0.7" top="0.78740157499999996" bottom="0.78740157499999996" header="0.3" footer="0.3"/>
  <pageSetup scale="77" orientation="portrait" r:id="rId1"/>
  <ignoredErrors>
    <ignoredError sqref="B5:F5 H5:L5 B7:F7 H7:L7 B9:F9 H9:L9 B11:F11 H11:L11 B12:F12 H12:L12 B18:F18 H18:L18 B19:F19 H19:L19 B20:F20 H20:L20 B21:F21 H21:L21 B22:F22 H22:L22"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dimension ref="A1:G27"/>
  <sheetViews>
    <sheetView showOutlineSymbols="0" workbookViewId="0">
      <selection activeCell="B6" sqref="B6:F6"/>
    </sheetView>
  </sheetViews>
  <sheetFormatPr baseColWidth="10" defaultColWidth="11.44140625" defaultRowHeight="13.2"/>
  <cols>
    <col min="1" max="1" width="13.44140625" customWidth="1"/>
  </cols>
  <sheetData>
    <row r="1" spans="1:7">
      <c r="A1" s="150" t="s">
        <v>335</v>
      </c>
      <c r="B1" s="386" t="s">
        <v>336</v>
      </c>
      <c r="C1" s="386"/>
      <c r="D1" s="386"/>
      <c r="E1" s="386"/>
      <c r="F1" s="386"/>
      <c r="G1" t="str">
        <f>INDEX(A:A,COUNTA(A:A))</f>
        <v>Version 1.3;
06.01.2024</v>
      </c>
    </row>
    <row r="2" spans="1:7" ht="26.4">
      <c r="A2" s="211" t="s">
        <v>337</v>
      </c>
      <c r="B2" s="385" t="s">
        <v>338</v>
      </c>
      <c r="C2" s="386"/>
      <c r="D2" s="386"/>
      <c r="E2" s="386"/>
      <c r="F2" s="386"/>
    </row>
    <row r="3" spans="1:7" ht="26.4">
      <c r="A3" s="211" t="s">
        <v>339</v>
      </c>
      <c r="B3" s="385" t="s">
        <v>340</v>
      </c>
      <c r="C3" s="386"/>
      <c r="D3" s="386"/>
      <c r="E3" s="386"/>
      <c r="F3" s="386"/>
    </row>
    <row r="4" spans="1:7" ht="26.4">
      <c r="A4" s="211" t="s">
        <v>341</v>
      </c>
      <c r="B4" s="385" t="s">
        <v>342</v>
      </c>
      <c r="C4" s="386"/>
      <c r="D4" s="386"/>
      <c r="E4" s="386"/>
      <c r="F4" s="386"/>
    </row>
    <row r="5" spans="1:7" ht="26.4">
      <c r="A5" s="257" t="s">
        <v>347</v>
      </c>
      <c r="B5" s="385" t="s">
        <v>348</v>
      </c>
      <c r="C5" s="386"/>
      <c r="D5" s="386"/>
      <c r="E5" s="386"/>
      <c r="F5" s="386"/>
    </row>
    <row r="6" spans="1:7">
      <c r="A6" s="257"/>
      <c r="B6" s="384"/>
      <c r="C6" s="386"/>
      <c r="D6" s="386"/>
      <c r="E6" s="386"/>
      <c r="F6" s="386"/>
    </row>
    <row r="7" spans="1:7">
      <c r="A7" s="209"/>
      <c r="B7" s="384"/>
      <c r="C7" s="386"/>
      <c r="D7" s="386"/>
      <c r="E7" s="386"/>
      <c r="F7" s="386"/>
    </row>
    <row r="8" spans="1:7">
      <c r="A8" s="209"/>
      <c r="B8" s="384"/>
      <c r="C8" s="386"/>
      <c r="D8" s="386"/>
      <c r="E8" s="386"/>
      <c r="F8" s="386"/>
    </row>
    <row r="9" spans="1:7">
      <c r="A9" s="209"/>
      <c r="B9" s="384"/>
      <c r="C9" s="386"/>
      <c r="D9" s="386"/>
      <c r="E9" s="386"/>
      <c r="F9" s="386"/>
    </row>
    <row r="10" spans="1:7">
      <c r="A10" s="209"/>
      <c r="B10" s="384"/>
      <c r="C10" s="386"/>
      <c r="D10" s="386"/>
      <c r="E10" s="386"/>
      <c r="F10" s="386"/>
    </row>
    <row r="11" spans="1:7">
      <c r="A11" s="209"/>
      <c r="B11" s="384"/>
      <c r="C11" s="386"/>
      <c r="D11" s="386"/>
      <c r="E11" s="386"/>
      <c r="F11" s="386"/>
    </row>
    <row r="12" spans="1:7">
      <c r="A12" s="209"/>
      <c r="B12" s="384"/>
      <c r="C12" s="384"/>
      <c r="D12" s="384"/>
      <c r="E12" s="384"/>
      <c r="F12" s="384"/>
    </row>
    <row r="13" spans="1:7">
      <c r="A13" s="209"/>
      <c r="B13" s="385"/>
      <c r="C13" s="384"/>
      <c r="D13" s="384"/>
      <c r="E13" s="384"/>
      <c r="F13" s="384"/>
    </row>
    <row r="14" spans="1:7">
      <c r="A14" s="209"/>
      <c r="B14" s="385"/>
      <c r="C14" s="384"/>
      <c r="D14" s="384"/>
      <c r="E14" s="384"/>
      <c r="F14" s="384"/>
    </row>
    <row r="15" spans="1:7">
      <c r="B15" s="384"/>
      <c r="C15" s="384"/>
      <c r="D15" s="384"/>
      <c r="E15" s="384"/>
      <c r="F15" s="384"/>
    </row>
    <row r="16" spans="1:7">
      <c r="B16" s="384"/>
      <c r="C16" s="384"/>
      <c r="D16" s="384"/>
      <c r="E16" s="384"/>
      <c r="F16" s="384"/>
    </row>
    <row r="17" spans="2:6">
      <c r="B17" s="384"/>
      <c r="C17" s="384"/>
      <c r="D17" s="384"/>
      <c r="E17" s="384"/>
      <c r="F17" s="384"/>
    </row>
    <row r="18" spans="2:6">
      <c r="B18" s="384"/>
      <c r="C18" s="384"/>
      <c r="D18" s="384"/>
      <c r="E18" s="384"/>
      <c r="F18" s="384"/>
    </row>
    <row r="19" spans="2:6">
      <c r="B19" s="384"/>
      <c r="C19" s="384"/>
      <c r="D19" s="384"/>
      <c r="E19" s="384"/>
      <c r="F19" s="384"/>
    </row>
    <row r="20" spans="2:6">
      <c r="B20" s="384"/>
      <c r="C20" s="384"/>
      <c r="D20" s="384"/>
      <c r="E20" s="384"/>
      <c r="F20" s="384"/>
    </row>
    <row r="21" spans="2:6">
      <c r="B21" s="384"/>
      <c r="C21" s="384"/>
      <c r="D21" s="384"/>
      <c r="E21" s="384"/>
      <c r="F21" s="384"/>
    </row>
    <row r="22" spans="2:6">
      <c r="B22" s="384"/>
      <c r="C22" s="384"/>
      <c r="D22" s="384"/>
      <c r="E22" s="384"/>
      <c r="F22" s="384"/>
    </row>
    <row r="23" spans="2:6">
      <c r="B23" s="384"/>
      <c r="C23" s="384"/>
      <c r="D23" s="384"/>
      <c r="E23" s="384"/>
      <c r="F23" s="384"/>
    </row>
    <row r="24" spans="2:6">
      <c r="B24" s="384"/>
      <c r="C24" s="384"/>
      <c r="D24" s="384"/>
      <c r="E24" s="384"/>
      <c r="F24" s="384"/>
    </row>
    <row r="25" spans="2:6">
      <c r="B25" s="384"/>
      <c r="C25" s="384"/>
      <c r="D25" s="384"/>
      <c r="E25" s="384"/>
      <c r="F25" s="384"/>
    </row>
    <row r="26" spans="2:6">
      <c r="B26" s="384"/>
      <c r="C26" s="384"/>
      <c r="D26" s="384"/>
      <c r="E26" s="384"/>
      <c r="F26" s="384"/>
    </row>
    <row r="27" spans="2:6">
      <c r="B27" s="384"/>
      <c r="C27" s="384"/>
      <c r="D27" s="384"/>
      <c r="E27" s="384"/>
      <c r="F27" s="384"/>
    </row>
  </sheetData>
  <sheetProtection algorithmName="SHA-512" hashValue="x0WK1dvmMRUMsZ0Vy6j8PO9F68b5LiRLNCdM6rA4atcTeV8jEyFTIvfsVvhXIJmNHd++ZhPipT1JbjV+BuNEwQ==" saltValue="sHDzeBGzxNBcvNrLyAh/jg==" spinCount="100000" sheet="1" selectLockedCells="1"/>
  <mergeCells count="27">
    <mergeCell ref="B12:F12"/>
    <mergeCell ref="B1:F1"/>
    <mergeCell ref="B2:F2"/>
    <mergeCell ref="B3:F3"/>
    <mergeCell ref="B4:F4"/>
    <mergeCell ref="B11:F11"/>
    <mergeCell ref="B5:F5"/>
    <mergeCell ref="B6:F6"/>
    <mergeCell ref="B7:F7"/>
    <mergeCell ref="B8:F8"/>
    <mergeCell ref="B9:F9"/>
    <mergeCell ref="B10:F10"/>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s>
  <phoneticPr fontId="43" type="noConversion"/>
  <pageMargins left="0.78740157499999996" right="0.78740157499999996" top="0.984251969" bottom="0.984251969" header="0.4921259845" footer="0.4921259845"/>
  <pageSetup paperSize="9"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21</vt:i4>
      </vt:variant>
    </vt:vector>
  </HeadingPairs>
  <TitlesOfParts>
    <vt:vector size="29" baseType="lpstr">
      <vt:lpstr>Konfiguration_Configuration</vt:lpstr>
      <vt:lpstr>Testbericht_Rapport de test</vt:lpstr>
      <vt:lpstr>DIPLOM_Diplome</vt:lpstr>
      <vt:lpstr>Bestätigung_Confirmation</vt:lpstr>
      <vt:lpstr>Notizenblatt_Feuille de juge</vt:lpstr>
      <vt:lpstr>Daten</vt:lpstr>
      <vt:lpstr>GEO</vt:lpstr>
      <vt:lpstr>Versionenkontrolle</vt:lpstr>
      <vt:lpstr>Austragungsort</vt:lpstr>
      <vt:lpstr>Berater</vt:lpstr>
      <vt:lpstr>Copyright</vt:lpstr>
      <vt:lpstr>Datum</vt:lpstr>
      <vt:lpstr>Bestätigung_Confirmation!Druckbereich</vt:lpstr>
      <vt:lpstr>DIPLOM_Diplome!Druckbereich</vt:lpstr>
      <vt:lpstr>Konfiguration_Configuration!Druckbereich</vt:lpstr>
      <vt:lpstr>'Testbericht_Rapport de test'!Druckbereich</vt:lpstr>
      <vt:lpstr>DIPLOM_Diplome!Drucktitel</vt:lpstr>
      <vt:lpstr>'Notizenblatt_Feuille de juge'!Drucktitel</vt:lpstr>
      <vt:lpstr>'Testbericht_Rapport de test'!Drucktitel</vt:lpstr>
      <vt:lpstr>L_Klub</vt:lpstr>
      <vt:lpstr>L_Teilnehmer</vt:lpstr>
      <vt:lpstr>Lizenzvermerk</vt:lpstr>
      <vt:lpstr>Schiedsrichter</vt:lpstr>
      <vt:lpstr>DIPLOM_Diplome!Sprache</vt:lpstr>
      <vt:lpstr>SpracheB</vt:lpstr>
      <vt:lpstr>SWname</vt:lpstr>
      <vt:lpstr>Teilnehmer</vt:lpstr>
      <vt:lpstr>Testklasse</vt:lpstr>
      <vt:lpstr>Testname</vt:lpstr>
    </vt:vector>
  </TitlesOfParts>
  <Manager>Burkhard Schulz</Manager>
  <Company>Schweizerischer Eislaufverband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EVALOnIce</dc:title>
  <dc:subject>Bewertungssystem</dc:subject>
  <dc:creator>Burkhard Schulz</dc:creator>
  <cp:keywords>Evaluation</cp:keywords>
  <dc:description/>
  <cp:lastModifiedBy>René Bänziger</cp:lastModifiedBy>
  <cp:revision/>
  <dcterms:created xsi:type="dcterms:W3CDTF">2024-01-06T12:45:26Z</dcterms:created>
  <dcterms:modified xsi:type="dcterms:W3CDTF">2024-01-06T13:04:23Z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